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hMR\Desktop\"/>
    </mc:Choice>
  </mc:AlternateContent>
  <xr:revisionPtr revIDLastSave="0" documentId="8_{0856BE6F-BEA5-47F6-9AAE-F7728D8120D5}" xr6:coauthVersionLast="47" xr6:coauthVersionMax="47" xr10:uidLastSave="{00000000-0000-0000-0000-000000000000}"/>
  <bookViews>
    <workbookView xWindow="-4800" yWindow="-21720" windowWidth="38640" windowHeight="21240" activeTab="1" xr2:uid="{A3E21A83-8F42-4E93-8776-5890563157E0}"/>
  </bookViews>
  <sheets>
    <sheet name="Штатний розпис" sheetId="2" r:id="rId1"/>
    <sheet name="Розрахунок до штатного розпису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3" l="1"/>
  <c r="H7" i="3"/>
  <c r="J7" i="3"/>
  <c r="K7" i="3"/>
  <c r="H8" i="3"/>
  <c r="J8" i="3"/>
  <c r="K8" i="3"/>
  <c r="H9" i="3"/>
  <c r="J9" i="3"/>
  <c r="K9" i="3"/>
  <c r="H10" i="3"/>
  <c r="J10" i="3"/>
  <c r="K10" i="3"/>
  <c r="H11" i="3"/>
  <c r="J11" i="3"/>
  <c r="K11" i="3"/>
  <c r="H12" i="3"/>
  <c r="J12" i="3"/>
  <c r="K12" i="3"/>
  <c r="H13" i="3"/>
  <c r="J13" i="3"/>
  <c r="K13" i="3"/>
  <c r="H14" i="3"/>
  <c r="J14" i="3"/>
  <c r="K14" i="3"/>
  <c r="H15" i="3"/>
  <c r="I15" i="3"/>
  <c r="J15" i="3"/>
  <c r="K15" i="3"/>
  <c r="H16" i="3"/>
  <c r="J16" i="3"/>
  <c r="K16" i="3"/>
  <c r="H17" i="3"/>
  <c r="I17" i="3"/>
  <c r="J17" i="3"/>
  <c r="K17" i="3"/>
  <c r="G18" i="3"/>
  <c r="G38" i="3"/>
  <c r="I18" i="3"/>
  <c r="H20" i="3"/>
  <c r="J20" i="3"/>
  <c r="K20" i="3"/>
  <c r="H21" i="3"/>
  <c r="J21" i="3"/>
  <c r="K21" i="3"/>
  <c r="H22" i="3"/>
  <c r="J22" i="3"/>
  <c r="K22" i="3"/>
  <c r="H23" i="3"/>
  <c r="H24" i="3"/>
  <c r="J24" i="3"/>
  <c r="K24" i="3"/>
  <c r="H25" i="3"/>
  <c r="J25" i="3"/>
  <c r="K25" i="3"/>
  <c r="H26" i="3"/>
  <c r="I26" i="3"/>
  <c r="J26" i="3"/>
  <c r="K26" i="3"/>
  <c r="H27" i="3"/>
  <c r="J27" i="3"/>
  <c r="K27" i="3"/>
  <c r="H28" i="3"/>
  <c r="H29" i="3"/>
  <c r="J29" i="3"/>
  <c r="K29" i="3"/>
  <c r="H30" i="3"/>
  <c r="J30" i="3"/>
  <c r="K30" i="3"/>
  <c r="H31" i="3"/>
  <c r="J31" i="3"/>
  <c r="K31" i="3"/>
  <c r="I31" i="3"/>
  <c r="H32" i="3"/>
  <c r="H33" i="3"/>
  <c r="J33" i="3"/>
  <c r="K33" i="3"/>
  <c r="H34" i="3"/>
  <c r="I34" i="3"/>
  <c r="J34" i="3"/>
  <c r="K34" i="3"/>
  <c r="K35" i="3"/>
  <c r="K36" i="3"/>
  <c r="G37" i="3"/>
  <c r="H37" i="3"/>
  <c r="F13" i="2"/>
  <c r="G13" i="2"/>
  <c r="F14" i="2"/>
  <c r="G14" i="2"/>
  <c r="F15" i="2"/>
  <c r="G15" i="2"/>
  <c r="F16" i="2"/>
  <c r="G16" i="2"/>
  <c r="F17" i="2"/>
  <c r="G17" i="2"/>
  <c r="F18" i="2"/>
  <c r="G18" i="2"/>
  <c r="F19" i="2"/>
  <c r="G19" i="2"/>
  <c r="F20" i="2"/>
  <c r="G20" i="2"/>
  <c r="F21" i="2"/>
  <c r="G21" i="2"/>
  <c r="F22" i="2"/>
  <c r="G22" i="2"/>
  <c r="F23" i="2"/>
  <c r="G23" i="2"/>
  <c r="G24" i="2"/>
  <c r="F25" i="2"/>
  <c r="G25" i="2"/>
  <c r="F26" i="2"/>
  <c r="G26" i="2"/>
  <c r="F27" i="2"/>
  <c r="G27" i="2"/>
  <c r="F28" i="2"/>
  <c r="G28" i="2"/>
  <c r="F29" i="2"/>
  <c r="G29" i="2"/>
  <c r="F30" i="2"/>
  <c r="G30" i="2"/>
  <c r="F31" i="2"/>
  <c r="G31" i="2"/>
  <c r="F32" i="2"/>
  <c r="G32" i="2"/>
  <c r="F33" i="2"/>
  <c r="G33" i="2"/>
  <c r="F34" i="2"/>
  <c r="G34" i="2"/>
  <c r="F35" i="2"/>
  <c r="G35" i="2"/>
  <c r="F36" i="2"/>
  <c r="G36" i="2"/>
  <c r="F37" i="2"/>
  <c r="G37" i="2"/>
  <c r="F38" i="2"/>
  <c r="G38" i="2"/>
  <c r="F39" i="2"/>
  <c r="G39" i="2"/>
  <c r="F40" i="2"/>
  <c r="G40" i="2"/>
  <c r="D41" i="2"/>
  <c r="H18" i="3"/>
  <c r="H38" i="3"/>
  <c r="J6" i="3"/>
  <c r="I23" i="3"/>
  <c r="J23" i="3"/>
  <c r="I28" i="3"/>
  <c r="J28" i="3"/>
  <c r="K28" i="3"/>
  <c r="I32" i="3"/>
  <c r="J32" i="3"/>
  <c r="K32" i="3"/>
  <c r="G41" i="2"/>
  <c r="J18" i="3"/>
  <c r="J38" i="3"/>
  <c r="K6" i="3"/>
  <c r="K18" i="3"/>
  <c r="K38" i="3"/>
  <c r="I37" i="3"/>
  <c r="I38" i="3"/>
  <c r="J37" i="3"/>
  <c r="K23" i="3"/>
  <c r="K37" i="3"/>
</calcChain>
</file>

<file path=xl/sharedStrings.xml><?xml version="1.0" encoding="utf-8"?>
<sst xmlns="http://schemas.openxmlformats.org/spreadsheetml/2006/main" count="160" uniqueCount="112">
  <si>
    <t>Професія</t>
  </si>
  <si>
    <t>Код професії</t>
  </si>
  <si>
    <t>Коеф. І розряду</t>
  </si>
  <si>
    <t>Коеф. за посадою</t>
  </si>
  <si>
    <t>Коеф. осн. проф.</t>
  </si>
  <si>
    <t>Оклад</t>
  </si>
  <si>
    <t>Додаткова (грн)</t>
  </si>
  <si>
    <t>Заробітна плата (грн.)</t>
  </si>
  <si>
    <t>Річний ФОП (грн.)</t>
  </si>
  <si>
    <t>Директор підприємства</t>
  </si>
  <si>
    <t>Головний бухгалтер</t>
  </si>
  <si>
    <t>Майстер</t>
  </si>
  <si>
    <t>1222.2 </t>
  </si>
  <si>
    <t>Економіст</t>
  </si>
  <si>
    <t>2441.2 </t>
  </si>
  <si>
    <t>Пров.спец.</t>
  </si>
  <si>
    <t>Інженер з охорони праці</t>
  </si>
  <si>
    <t xml:space="preserve">Фахівець з публічних закупівель </t>
  </si>
  <si>
    <t>Бухгалтер</t>
  </si>
  <si>
    <t>Інспектор з кадрів</t>
  </si>
  <si>
    <t>ВСЬОГО</t>
  </si>
  <si>
    <t>Коеф. за розр.</t>
  </si>
  <si>
    <t>Коеф. робіт та проф.</t>
  </si>
  <si>
    <t>Без р.</t>
  </si>
  <si>
    <t>Дорожній робітник</t>
  </si>
  <si>
    <t>Машиніст автогрейдера (Автогрейдер, Потужність (к.с.): від 35 до 60)</t>
  </si>
  <si>
    <t>Прибиральник територій</t>
  </si>
  <si>
    <t>Робітник з благоустрою</t>
  </si>
  <si>
    <t>Озеленювач</t>
  </si>
  <si>
    <t>6113 </t>
  </si>
  <si>
    <t>Слюсар з ремонту дорожньо-будівельних машин та тракторів</t>
  </si>
  <si>
    <t>Охоронник</t>
  </si>
  <si>
    <t>Прибиральник службових приміщень</t>
  </si>
  <si>
    <t>Всього по підприємству:</t>
  </si>
  <si>
    <t>Категорія/  група</t>
  </si>
  <si>
    <t>Розряд/   категорія</t>
  </si>
  <si>
    <t>Штатна чисел.</t>
  </si>
  <si>
    <t>1221.2</t>
  </si>
  <si>
    <t>2419.2</t>
  </si>
  <si>
    <t>1210.1</t>
  </si>
  <si>
    <t>ШТАТНОГО  РОЗПИСУ</t>
  </si>
  <si>
    <t>ПОГОДЖЕНО</t>
  </si>
  <si>
    <t>ЗАТВЕРДЖУЮ</t>
  </si>
  <si>
    <t>рішення виконавчого комітету Хустської міської ради</t>
  </si>
  <si>
    <t>Директор КП "Реклама-Хуст"</t>
  </si>
  <si>
    <t>ШТАТНИЙ РОЗПИС</t>
  </si>
  <si>
    <t>№ з/п</t>
  </si>
  <si>
    <t>Назва посад (професій)</t>
  </si>
  <si>
    <t xml:space="preserve">Код професій </t>
  </si>
  <si>
    <t>Кількість штатних посад</t>
  </si>
  <si>
    <t>Тарифний розряд</t>
  </si>
  <si>
    <t>Посадовий оклад                  (грн)</t>
  </si>
  <si>
    <t>Фонд заробітної плати за місяць (грн)</t>
  </si>
  <si>
    <t>Майстер зеленого господарства</t>
  </si>
  <si>
    <t>1222.2</t>
  </si>
  <si>
    <t>2441.2</t>
  </si>
  <si>
    <t>2149.2</t>
  </si>
  <si>
    <t>Фахівець з публічних закупівель</t>
  </si>
  <si>
    <t>Водій автотранспортних засобів (Сміттєвоз)</t>
  </si>
  <si>
    <t>Машиніст автогрейдера</t>
  </si>
  <si>
    <t xml:space="preserve">Озеленювач </t>
  </si>
  <si>
    <t>Разом</t>
  </si>
  <si>
    <t>Директор</t>
  </si>
  <si>
    <t>_________________</t>
  </si>
  <si>
    <t xml:space="preserve"> РОЗРАХУНОК </t>
  </si>
  <si>
    <t xml:space="preserve">з місячним фондом заробітної плати                          </t>
  </si>
  <si>
    <t>Ст. спеціаліст</t>
  </si>
  <si>
    <t>Водій автотранспортних засобів (Сміттєвоз, Вантажопідйомність (т): від 3 до 5)</t>
  </si>
  <si>
    <t>Юрист</t>
  </si>
  <si>
    <t>ВСЬОГО:</t>
  </si>
  <si>
    <t xml:space="preserve">Майстер </t>
  </si>
  <si>
    <t>Заступник директора</t>
  </si>
  <si>
    <t>Електромонтер з ремонту та обслуговування електроустаткування</t>
  </si>
  <si>
    <t>Водій автотранспортних засобів (Грузо-пасажирський фургон, Вантажопідйомність (т): від 3 до 5)</t>
  </si>
  <si>
    <t>Водій автотранспортних засобів (Прибирально-поливальна машина, Вантажопідйомність (т): від 10 до 20)</t>
  </si>
  <si>
    <t>Водій автотранспортних засобів (Цистерна, Вантажопідйомність (т): від 7 до 10)</t>
  </si>
  <si>
    <t>Машиніст екскаватора (Екскаватор, Об'єм ковша (м. куб.): від 0.25 до 0.4)</t>
  </si>
  <si>
    <t>3328*2,6*3,9*1,77</t>
  </si>
  <si>
    <t>3328*2,6*3,2*1,69</t>
  </si>
  <si>
    <t>3328*2,6*1,9*1,69</t>
  </si>
  <si>
    <t>3328*2,6*2,2*1,69</t>
  </si>
  <si>
    <t>3328*2,6*1,8*1,69</t>
  </si>
  <si>
    <t>3328*2,6*2,0*1,69</t>
  </si>
  <si>
    <t>3328*2,6*1,7*1,69</t>
  </si>
  <si>
    <t>3328*2,6*3,4*1,69</t>
  </si>
  <si>
    <t>3328*2,6*1,0*2,23</t>
  </si>
  <si>
    <t>3328*2,6*1,0*2,58</t>
  </si>
  <si>
    <t>3328*2,6*1,0*2,45</t>
  </si>
  <si>
    <t>Водій автотранспортних засобів (Грузо-пасажирський фургон)</t>
  </si>
  <si>
    <t>Водій автотранспортних засобів (Прибирально-поливальна машина)</t>
  </si>
  <si>
    <t>Водій автотранспортних засобів (Цистерна)</t>
  </si>
  <si>
    <t>3328*2,6*1,0*2,36</t>
  </si>
  <si>
    <t>Машиніст екскаватора</t>
  </si>
  <si>
    <t>3328*2,6*1,54*1,34</t>
  </si>
  <si>
    <t>3328*2,6*1,35*2,23</t>
  </si>
  <si>
    <t>3328*2,6*1,0*1,77</t>
  </si>
  <si>
    <t>3328*2,6*1,08*1,77</t>
  </si>
  <si>
    <t>3328*2,6*1,2*2,2</t>
  </si>
  <si>
    <t>3328*2,6*1,2*1,4</t>
  </si>
  <si>
    <t>3328*2,6*1,35*1,46</t>
  </si>
  <si>
    <t>3328*2,6*1,0*1,34</t>
  </si>
  <si>
    <t>3328*2,6*1,0*1,47</t>
  </si>
  <si>
    <t>3328*2,6*1,25*1,53</t>
  </si>
  <si>
    <t>Сергій ВІВЧАРИК</t>
  </si>
  <si>
    <t>Світлана ЩЕРБАН</t>
  </si>
  <si>
    <t>_________________    Сергій ВІВЧАРИК</t>
  </si>
  <si>
    <t>1221.1</t>
  </si>
  <si>
    <t>Диспетчер автомобільного транспорту</t>
  </si>
  <si>
    <t>на 14.09.2026 рік</t>
  </si>
  <si>
    <t>штат в кількості 90,5 одиниць</t>
  </si>
  <si>
    <t>1 743 873,00 (Один мільйон сімсот сорок три тисячі вісімсот сімдесят три гривні 00 коп.)</t>
  </si>
  <si>
    <t>від "08"вересня  2026р.  № 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</si>
</sst>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12" x14ac:knownFonts="1">
    <font>
      <sz val="11"/>
      <color indexed="8"/>
      <name val="Calibri"/>
    </font>
    <font>
      <b/>
      <sz val="11"/>
      <color indexed="8"/>
      <name val="Calibri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Fill="0" applyProtection="0"/>
  </cellStyleXfs>
  <cellXfs count="76">
    <xf numFmtId="0" fontId="0" fillId="0" borderId="0" xfId="0" applyFill="1" applyProtection="1"/>
    <xf numFmtId="0" fontId="1" fillId="0" borderId="0" xfId="0" applyFont="1" applyFill="1" applyProtection="1"/>
    <xf numFmtId="0" fontId="3" fillId="0" borderId="1" xfId="0" applyFont="1" applyFill="1" applyBorder="1" applyAlignment="1" applyProtection="1">
      <alignment horizontal="center"/>
    </xf>
    <xf numFmtId="4" fontId="3" fillId="0" borderId="1" xfId="0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9" fontId="9" fillId="4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66" fontId="3" fillId="0" borderId="1" xfId="0" applyNumberFormat="1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3" fontId="9" fillId="0" borderId="5" xfId="0" applyNumberFormat="1" applyFont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9" fillId="0" borderId="5" xfId="0" applyNumberFormat="1" applyFont="1" applyFill="1" applyBorder="1" applyAlignment="1" applyProtection="1">
      <alignment horizontal="center" vertical="center" wrapText="1"/>
    </xf>
    <xf numFmtId="3" fontId="9" fillId="4" borderId="5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49" fontId="0" fillId="0" borderId="0" xfId="0" applyNumberFormat="1" applyFill="1" applyAlignment="1" applyProtection="1">
      <alignment horizontal="center"/>
    </xf>
    <xf numFmtId="0" fontId="3" fillId="0" borderId="6" xfId="0" applyFont="1" applyFill="1" applyBorder="1" applyAlignment="1" applyProtection="1">
      <alignment horizontal="center"/>
    </xf>
    <xf numFmtId="3" fontId="3" fillId="0" borderId="6" xfId="0" applyNumberFormat="1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left"/>
    </xf>
    <xf numFmtId="0" fontId="2" fillId="2" borderId="9" xfId="0" applyFont="1" applyFill="1" applyBorder="1" applyAlignment="1" applyProtection="1">
      <alignment horizontal="center"/>
    </xf>
    <xf numFmtId="3" fontId="2" fillId="2" borderId="9" xfId="0" applyNumberFormat="1" applyFon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/>
    </xf>
    <xf numFmtId="3" fontId="2" fillId="2" borderId="10" xfId="0" applyNumberFormat="1" applyFont="1" applyFill="1" applyBorder="1" applyAlignment="1" applyProtection="1">
      <alignment horizontal="center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Protection="1"/>
    <xf numFmtId="0" fontId="3" fillId="0" borderId="2" xfId="0" applyFont="1" applyFill="1" applyBorder="1" applyProtection="1"/>
    <xf numFmtId="0" fontId="3" fillId="0" borderId="13" xfId="0" applyFont="1" applyFill="1" applyBorder="1" applyProtection="1"/>
    <xf numFmtId="0" fontId="2" fillId="2" borderId="14" xfId="0" applyFont="1" applyFill="1" applyBorder="1" applyAlignment="1" applyProtection="1">
      <alignment horizontal="center" vertical="center"/>
    </xf>
    <xf numFmtId="9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left" vertical="center"/>
    </xf>
    <xf numFmtId="9" fontId="9" fillId="4" borderId="6" xfId="0" applyNumberFormat="1" applyFont="1" applyFill="1" applyBorder="1" applyAlignment="1">
      <alignment horizontal="center" vertical="center" wrapText="1"/>
    </xf>
    <xf numFmtId="3" fontId="3" fillId="0" borderId="18" xfId="0" applyNumberFormat="1" applyFont="1" applyFill="1" applyBorder="1" applyAlignment="1" applyProtection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3" fillId="4" borderId="2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/>
    </xf>
    <xf numFmtId="3" fontId="0" fillId="0" borderId="0" xfId="0" applyNumberFormat="1" applyFill="1" applyProtection="1"/>
    <xf numFmtId="0" fontId="3" fillId="0" borderId="20" xfId="0" applyFont="1" applyFill="1" applyBorder="1" applyAlignment="1" applyProtection="1">
      <alignment horizontal="left" vertical="center"/>
    </xf>
    <xf numFmtId="0" fontId="9" fillId="0" borderId="21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2" borderId="24" xfId="0" applyFont="1" applyFill="1" applyBorder="1" applyAlignment="1" applyProtection="1">
      <alignment horizontal="left"/>
    </xf>
    <xf numFmtId="0" fontId="2" fillId="2" borderId="1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left"/>
    </xf>
    <xf numFmtId="0" fontId="2" fillId="2" borderId="9" xfId="0" applyFont="1" applyFill="1" applyBorder="1" applyAlignment="1" applyProtection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CDCDC"/>
      <rgbColor rgb="00EEEE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ECF5-0363-41A6-B589-B9605C9A4674}">
  <dimension ref="A1:G45"/>
  <sheetViews>
    <sheetView topLeftCell="A24" zoomScaleNormal="100" workbookViewId="0">
      <selection activeCell="A3" sqref="A3:C3"/>
    </sheetView>
  </sheetViews>
  <sheetFormatPr defaultRowHeight="14.4" x14ac:dyDescent="0.3"/>
  <cols>
    <col min="2" max="2" width="46.44140625" customWidth="1"/>
    <col min="3" max="3" width="11" customWidth="1"/>
    <col min="4" max="4" width="11.5546875" customWidth="1"/>
    <col min="5" max="5" width="22.33203125" customWidth="1"/>
    <col min="6" max="6" width="15.109375" customWidth="1"/>
    <col min="7" max="7" width="17.109375" customWidth="1"/>
  </cols>
  <sheetData>
    <row r="1" spans="1:7" ht="15.6" x14ac:dyDescent="0.3">
      <c r="A1" s="63" t="s">
        <v>41</v>
      </c>
      <c r="B1" s="63"/>
      <c r="C1" s="63"/>
      <c r="D1" s="51"/>
      <c r="E1" s="63" t="s">
        <v>42</v>
      </c>
      <c r="F1" s="63"/>
      <c r="G1" s="63"/>
    </row>
    <row r="2" spans="1:7" ht="15.6" x14ac:dyDescent="0.3">
      <c r="A2" s="63" t="s">
        <v>43</v>
      </c>
      <c r="B2" s="63"/>
      <c r="C2" s="63"/>
      <c r="D2" s="52"/>
      <c r="E2" s="63" t="s">
        <v>109</v>
      </c>
      <c r="F2" s="63"/>
      <c r="G2" s="63"/>
    </row>
    <row r="3" spans="1:7" ht="15.6" x14ac:dyDescent="0.3">
      <c r="A3" s="63" t="s">
        <v>111</v>
      </c>
      <c r="B3" s="63"/>
      <c r="C3" s="63"/>
      <c r="D3" s="52"/>
      <c r="E3" s="63" t="s">
        <v>65</v>
      </c>
      <c r="F3" s="63"/>
      <c r="G3" s="63"/>
    </row>
    <row r="4" spans="1:7" ht="43.5" customHeight="1" x14ac:dyDescent="0.3">
      <c r="A4" s="65"/>
      <c r="B4" s="65"/>
      <c r="C4" s="65"/>
      <c r="D4" s="53"/>
      <c r="E4" s="66" t="s">
        <v>110</v>
      </c>
      <c r="F4" s="66"/>
      <c r="G4" s="66"/>
    </row>
    <row r="5" spans="1:7" ht="15.6" x14ac:dyDescent="0.3">
      <c r="A5" s="67"/>
      <c r="B5" s="67"/>
      <c r="C5" s="67"/>
      <c r="D5" s="54"/>
      <c r="E5" s="67" t="s">
        <v>44</v>
      </c>
      <c r="F5" s="67"/>
      <c r="G5" s="67"/>
    </row>
    <row r="6" spans="1:7" ht="27" customHeight="1" x14ac:dyDescent="0.3">
      <c r="A6" s="63"/>
      <c r="B6" s="63"/>
      <c r="C6" s="63"/>
      <c r="D6" s="54"/>
      <c r="E6" s="68" t="s">
        <v>105</v>
      </c>
      <c r="F6" s="68"/>
      <c r="G6" s="68"/>
    </row>
    <row r="7" spans="1:7" ht="15.6" x14ac:dyDescent="0.3">
      <c r="A7" s="54"/>
      <c r="B7" s="54"/>
      <c r="C7" s="54"/>
      <c r="D7" s="54"/>
      <c r="E7" s="54"/>
      <c r="F7" s="54"/>
      <c r="G7" s="54"/>
    </row>
    <row r="8" spans="1:7" x14ac:dyDescent="0.3">
      <c r="A8" s="4"/>
      <c r="B8" s="4"/>
      <c r="C8" s="4"/>
      <c r="D8" s="4"/>
      <c r="E8" s="4"/>
      <c r="F8" s="4"/>
      <c r="G8" s="4"/>
    </row>
    <row r="9" spans="1:7" ht="20.399999999999999" x14ac:dyDescent="0.3">
      <c r="A9" s="61" t="s">
        <v>45</v>
      </c>
      <c r="B9" s="61"/>
      <c r="C9" s="61"/>
      <c r="D9" s="61"/>
      <c r="E9" s="61"/>
      <c r="F9" s="61"/>
      <c r="G9" s="61"/>
    </row>
    <row r="10" spans="1:7" ht="17.399999999999999" x14ac:dyDescent="0.3">
      <c r="A10" s="62" t="s">
        <v>108</v>
      </c>
      <c r="B10" s="62"/>
      <c r="C10" s="62"/>
      <c r="D10" s="62"/>
      <c r="E10" s="62"/>
      <c r="F10" s="62"/>
      <c r="G10" s="62"/>
    </row>
    <row r="11" spans="1:7" ht="15" thickBot="1" x14ac:dyDescent="0.35">
      <c r="A11" s="4"/>
      <c r="B11" s="4"/>
      <c r="C11" s="4"/>
      <c r="D11" s="4"/>
      <c r="E11" s="4"/>
      <c r="F11" s="4"/>
      <c r="G11" s="4"/>
    </row>
    <row r="12" spans="1:7" ht="64.5" customHeight="1" x14ac:dyDescent="0.3">
      <c r="A12" s="43" t="s">
        <v>46</v>
      </c>
      <c r="B12" s="44" t="s">
        <v>47</v>
      </c>
      <c r="C12" s="44" t="s">
        <v>48</v>
      </c>
      <c r="D12" s="44" t="s">
        <v>49</v>
      </c>
      <c r="E12" s="44" t="s">
        <v>50</v>
      </c>
      <c r="F12" s="44" t="s">
        <v>51</v>
      </c>
      <c r="G12" s="45" t="s">
        <v>52</v>
      </c>
    </row>
    <row r="13" spans="1:7" ht="32.25" customHeight="1" x14ac:dyDescent="0.3">
      <c r="A13" s="6">
        <v>1</v>
      </c>
      <c r="B13" s="11" t="s">
        <v>9</v>
      </c>
      <c r="C13" s="5" t="s">
        <v>39</v>
      </c>
      <c r="D13" s="5">
        <v>1</v>
      </c>
      <c r="E13" s="5" t="s">
        <v>77</v>
      </c>
      <c r="F13" s="20">
        <f>ROUND(3328*2.6*3.9*1.77,0)</f>
        <v>59730</v>
      </c>
      <c r="G13" s="18">
        <f t="shared" ref="G13:G20" si="0">F13</f>
        <v>59730</v>
      </c>
    </row>
    <row r="14" spans="1:7" ht="32.25" customHeight="1" x14ac:dyDescent="0.3">
      <c r="A14" s="6">
        <v>2</v>
      </c>
      <c r="B14" s="11" t="s">
        <v>71</v>
      </c>
      <c r="C14" s="5" t="s">
        <v>39</v>
      </c>
      <c r="D14" s="5">
        <v>1</v>
      </c>
      <c r="E14" s="5" t="s">
        <v>84</v>
      </c>
      <c r="F14" s="20">
        <f>ROUND(3328*2.6*3.4*1.69,0)</f>
        <v>49719</v>
      </c>
      <c r="G14" s="18">
        <f t="shared" si="0"/>
        <v>49719</v>
      </c>
    </row>
    <row r="15" spans="1:7" ht="32.25" customHeight="1" x14ac:dyDescent="0.3">
      <c r="A15" s="6">
        <v>3</v>
      </c>
      <c r="B15" s="11" t="s">
        <v>10</v>
      </c>
      <c r="C15" s="5">
        <v>1231</v>
      </c>
      <c r="D15" s="5">
        <v>1</v>
      </c>
      <c r="E15" s="41" t="s">
        <v>78</v>
      </c>
      <c r="F15" s="20">
        <f>ROUND(3328*2.6*3.2*1.69,0)</f>
        <v>46794</v>
      </c>
      <c r="G15" s="18">
        <f t="shared" si="0"/>
        <v>46794</v>
      </c>
    </row>
    <row r="16" spans="1:7" ht="32.25" customHeight="1" x14ac:dyDescent="0.3">
      <c r="A16" s="6">
        <v>4</v>
      </c>
      <c r="B16" s="12" t="s">
        <v>53</v>
      </c>
      <c r="C16" s="7" t="s">
        <v>37</v>
      </c>
      <c r="D16" s="7">
        <v>1</v>
      </c>
      <c r="E16" s="41" t="s">
        <v>79</v>
      </c>
      <c r="F16" s="20">
        <f>ROUND(3328*2.6*1.9*1.69,0)</f>
        <v>27784</v>
      </c>
      <c r="G16" s="18">
        <f t="shared" si="0"/>
        <v>27784</v>
      </c>
    </row>
    <row r="17" spans="1:7" ht="32.25" customHeight="1" x14ac:dyDescent="0.3">
      <c r="A17" s="6">
        <v>5</v>
      </c>
      <c r="B17" s="11" t="s">
        <v>11</v>
      </c>
      <c r="C17" s="5" t="s">
        <v>54</v>
      </c>
      <c r="D17" s="7">
        <v>1</v>
      </c>
      <c r="E17" s="41" t="s">
        <v>79</v>
      </c>
      <c r="F17" s="20">
        <f>ROUND(3328*2.6*1.9*1.69,0)</f>
        <v>27784</v>
      </c>
      <c r="G17" s="18">
        <f t="shared" si="0"/>
        <v>27784</v>
      </c>
    </row>
    <row r="18" spans="1:7" ht="32.25" customHeight="1" x14ac:dyDescent="0.3">
      <c r="A18" s="6">
        <v>6</v>
      </c>
      <c r="B18" s="11" t="s">
        <v>11</v>
      </c>
      <c r="C18" s="5" t="s">
        <v>54</v>
      </c>
      <c r="D18" s="5">
        <v>1</v>
      </c>
      <c r="E18" s="41" t="s">
        <v>79</v>
      </c>
      <c r="F18" s="20">
        <f>ROUND(3328*2.6*1.9*1.69,0)</f>
        <v>27784</v>
      </c>
      <c r="G18" s="18">
        <f t="shared" si="0"/>
        <v>27784</v>
      </c>
    </row>
    <row r="19" spans="1:7" ht="32.25" customHeight="1" x14ac:dyDescent="0.3">
      <c r="A19" s="6">
        <v>7</v>
      </c>
      <c r="B19" s="11" t="s">
        <v>13</v>
      </c>
      <c r="C19" s="5" t="s">
        <v>55</v>
      </c>
      <c r="D19" s="5">
        <v>1</v>
      </c>
      <c r="E19" s="41" t="s">
        <v>80</v>
      </c>
      <c r="F19" s="20">
        <f>ROUND(3328*2.6*2.2*1.69,0)</f>
        <v>32171</v>
      </c>
      <c r="G19" s="18">
        <f t="shared" si="0"/>
        <v>32171</v>
      </c>
    </row>
    <row r="20" spans="1:7" ht="32.25" customHeight="1" x14ac:dyDescent="0.3">
      <c r="A20" s="6">
        <v>8</v>
      </c>
      <c r="B20" s="11" t="s">
        <v>16</v>
      </c>
      <c r="C20" s="5" t="s">
        <v>56</v>
      </c>
      <c r="D20" s="5">
        <v>1</v>
      </c>
      <c r="E20" s="41" t="s">
        <v>81</v>
      </c>
      <c r="F20" s="20">
        <f>ROUND(3328*2.6*1.8*1.69,0)</f>
        <v>26322</v>
      </c>
      <c r="G20" s="18">
        <f t="shared" si="0"/>
        <v>26322</v>
      </c>
    </row>
    <row r="21" spans="1:7" ht="32.25" customHeight="1" x14ac:dyDescent="0.3">
      <c r="A21" s="6">
        <v>9</v>
      </c>
      <c r="B21" s="11" t="s">
        <v>57</v>
      </c>
      <c r="C21" s="5" t="s">
        <v>38</v>
      </c>
      <c r="D21" s="5">
        <v>0.5</v>
      </c>
      <c r="E21" s="41" t="s">
        <v>80</v>
      </c>
      <c r="F21" s="20">
        <f>ROUND(3328*2.6*2.2*1.69,0)</f>
        <v>32171</v>
      </c>
      <c r="G21" s="18">
        <f>ROUND(F21*D21,0)</f>
        <v>16086</v>
      </c>
    </row>
    <row r="22" spans="1:7" ht="32.25" customHeight="1" x14ac:dyDescent="0.3">
      <c r="A22" s="6">
        <v>10</v>
      </c>
      <c r="B22" s="11" t="s">
        <v>68</v>
      </c>
      <c r="C22" s="5">
        <v>2429</v>
      </c>
      <c r="D22" s="5">
        <v>1</v>
      </c>
      <c r="E22" s="41" t="s">
        <v>82</v>
      </c>
      <c r="F22" s="20">
        <f>ROUND(3328*2.6*2*1.69,0)</f>
        <v>29246</v>
      </c>
      <c r="G22" s="18">
        <f>F22</f>
        <v>29246</v>
      </c>
    </row>
    <row r="23" spans="1:7" ht="32.25" customHeight="1" x14ac:dyDescent="0.3">
      <c r="A23" s="6">
        <v>11</v>
      </c>
      <c r="B23" s="11" t="s">
        <v>18</v>
      </c>
      <c r="C23" s="5">
        <v>3433</v>
      </c>
      <c r="D23" s="5">
        <v>1</v>
      </c>
      <c r="E23" s="41" t="s">
        <v>82</v>
      </c>
      <c r="F23" s="20">
        <f>ROUND(3328*2.6*2*1.69,0)</f>
        <v>29246</v>
      </c>
      <c r="G23" s="18">
        <f>ROUND(F23+(F23*30%),0)</f>
        <v>38020</v>
      </c>
    </row>
    <row r="24" spans="1:7" ht="32.25" customHeight="1" x14ac:dyDescent="0.3">
      <c r="A24" s="6">
        <v>12</v>
      </c>
      <c r="B24" s="59" t="s">
        <v>107</v>
      </c>
      <c r="C24" s="5">
        <v>3119</v>
      </c>
      <c r="D24" s="5">
        <v>1</v>
      </c>
      <c r="E24" s="41" t="s">
        <v>83</v>
      </c>
      <c r="F24" s="20">
        <v>24859</v>
      </c>
      <c r="G24" s="18">
        <f>F24</f>
        <v>24859</v>
      </c>
    </row>
    <row r="25" spans="1:7" ht="32.25" customHeight="1" x14ac:dyDescent="0.3">
      <c r="A25" s="6">
        <v>13</v>
      </c>
      <c r="B25" s="13" t="s">
        <v>19</v>
      </c>
      <c r="C25" s="7">
        <v>3423</v>
      </c>
      <c r="D25" s="5">
        <v>1</v>
      </c>
      <c r="E25" s="41" t="s">
        <v>83</v>
      </c>
      <c r="F25" s="20">
        <f>ROUND(3328*2.6*1.7*1.69,0)</f>
        <v>24859</v>
      </c>
      <c r="G25" s="18">
        <f>ROUND(F25+(F25*20%),0)</f>
        <v>29831</v>
      </c>
    </row>
    <row r="26" spans="1:7" ht="34.950000000000003" customHeight="1" x14ac:dyDescent="0.3">
      <c r="A26" s="6">
        <v>14</v>
      </c>
      <c r="B26" s="42" t="s">
        <v>88</v>
      </c>
      <c r="C26" s="7">
        <v>8322</v>
      </c>
      <c r="D26" s="5">
        <v>1</v>
      </c>
      <c r="E26" s="8" t="s">
        <v>85</v>
      </c>
      <c r="F26" s="19">
        <f>ROUND(3328*2.6*1*2.23,0)</f>
        <v>19296</v>
      </c>
      <c r="G26" s="18">
        <f>F26</f>
        <v>19296</v>
      </c>
    </row>
    <row r="27" spans="1:7" ht="37.200000000000003" customHeight="1" x14ac:dyDescent="0.3">
      <c r="A27" s="6">
        <v>15</v>
      </c>
      <c r="B27" s="42" t="s">
        <v>89</v>
      </c>
      <c r="C27" s="7">
        <v>8322</v>
      </c>
      <c r="D27" s="5">
        <v>1</v>
      </c>
      <c r="E27" s="8" t="s">
        <v>86</v>
      </c>
      <c r="F27" s="19">
        <f>ROUND(3328*2.6*1*2.58,0)</f>
        <v>22324</v>
      </c>
      <c r="G27" s="18">
        <f>F27</f>
        <v>22324</v>
      </c>
    </row>
    <row r="28" spans="1:7" ht="31.95" customHeight="1" x14ac:dyDescent="0.3">
      <c r="A28" s="6">
        <v>16</v>
      </c>
      <c r="B28" s="42" t="s">
        <v>90</v>
      </c>
      <c r="C28" s="7">
        <v>8322</v>
      </c>
      <c r="D28" s="5">
        <v>2</v>
      </c>
      <c r="E28" s="8" t="s">
        <v>87</v>
      </c>
      <c r="F28" s="19">
        <f>ROUND(3328*2.6*1*2.45,0)</f>
        <v>21199</v>
      </c>
      <c r="G28" s="18">
        <f>F28*2</f>
        <v>42398</v>
      </c>
    </row>
    <row r="29" spans="1:7" ht="31.2" customHeight="1" x14ac:dyDescent="0.3">
      <c r="A29" s="6">
        <v>17</v>
      </c>
      <c r="B29" s="11" t="s">
        <v>58</v>
      </c>
      <c r="C29" s="5">
        <v>8322</v>
      </c>
      <c r="D29" s="5">
        <v>1</v>
      </c>
      <c r="E29" s="8" t="s">
        <v>91</v>
      </c>
      <c r="F29" s="19">
        <f>ROUND(3328*2.6*1*2.36,0)</f>
        <v>20421</v>
      </c>
      <c r="G29" s="18">
        <f>F29</f>
        <v>20421</v>
      </c>
    </row>
    <row r="30" spans="1:7" ht="32.25" customHeight="1" x14ac:dyDescent="0.3">
      <c r="A30" s="6">
        <v>18</v>
      </c>
      <c r="B30" s="11" t="s">
        <v>24</v>
      </c>
      <c r="C30" s="5">
        <v>8332</v>
      </c>
      <c r="D30" s="5">
        <v>7</v>
      </c>
      <c r="E30" s="8" t="s">
        <v>93</v>
      </c>
      <c r="F30" s="20">
        <f>ROUND(3328*2.6*1.54*1.34,0)</f>
        <v>17856</v>
      </c>
      <c r="G30" s="18">
        <f>ROUND((F30+F30*12%)*D30,0)</f>
        <v>139991</v>
      </c>
    </row>
    <row r="31" spans="1:7" ht="32.25" customHeight="1" x14ac:dyDescent="0.3">
      <c r="A31" s="6">
        <v>19</v>
      </c>
      <c r="B31" s="11" t="s">
        <v>59</v>
      </c>
      <c r="C31" s="5">
        <v>8332</v>
      </c>
      <c r="D31" s="5">
        <v>1</v>
      </c>
      <c r="E31" s="8" t="s">
        <v>94</v>
      </c>
      <c r="F31" s="19">
        <f>ROUND(3328*2.6*1.35*2.23,0)</f>
        <v>26049</v>
      </c>
      <c r="G31" s="22">
        <f>F31</f>
        <v>26049</v>
      </c>
    </row>
    <row r="32" spans="1:7" ht="32.25" customHeight="1" x14ac:dyDescent="0.3">
      <c r="A32" s="6">
        <v>20</v>
      </c>
      <c r="B32" s="11" t="s">
        <v>26</v>
      </c>
      <c r="C32" s="5">
        <v>9162</v>
      </c>
      <c r="D32" s="5">
        <v>41</v>
      </c>
      <c r="E32" s="8" t="s">
        <v>95</v>
      </c>
      <c r="F32" s="20">
        <f>ROUND(3328*2.6*1*1.77,0)</f>
        <v>15315</v>
      </c>
      <c r="G32" s="18">
        <f>F32*D32</f>
        <v>627915</v>
      </c>
    </row>
    <row r="33" spans="1:7" ht="32.25" customHeight="1" x14ac:dyDescent="0.3">
      <c r="A33" s="6">
        <v>21</v>
      </c>
      <c r="B33" s="12" t="s">
        <v>27</v>
      </c>
      <c r="C33" s="46">
        <v>9161</v>
      </c>
      <c r="D33" s="46">
        <v>10</v>
      </c>
      <c r="E33" s="8" t="s">
        <v>96</v>
      </c>
      <c r="F33" s="20">
        <f>ROUND(3328*2.6*1.08*1.77,0)</f>
        <v>16541</v>
      </c>
      <c r="G33" s="21">
        <f>ROUND((F33+F33*20%)*D33,0)</f>
        <v>198492</v>
      </c>
    </row>
    <row r="34" spans="1:7" ht="32.25" customHeight="1" x14ac:dyDescent="0.3">
      <c r="A34" s="6">
        <v>22</v>
      </c>
      <c r="B34" s="11" t="s">
        <v>92</v>
      </c>
      <c r="C34" s="5">
        <v>8331</v>
      </c>
      <c r="D34" s="5">
        <v>1</v>
      </c>
      <c r="E34" s="8" t="s">
        <v>97</v>
      </c>
      <c r="F34" s="19">
        <f>ROUND(3328*2.6*1.2*2.2,0)</f>
        <v>22843</v>
      </c>
      <c r="G34" s="22">
        <f>F34</f>
        <v>22843</v>
      </c>
    </row>
    <row r="35" spans="1:7" ht="32.25" customHeight="1" x14ac:dyDescent="0.3">
      <c r="A35" s="6">
        <v>23</v>
      </c>
      <c r="B35" s="11" t="s">
        <v>60</v>
      </c>
      <c r="C35" s="5">
        <v>6113</v>
      </c>
      <c r="D35" s="5">
        <v>1</v>
      </c>
      <c r="E35" s="8" t="s">
        <v>98</v>
      </c>
      <c r="F35" s="20">
        <f>ROUND(3328*2.6*1.2*1.4,0)</f>
        <v>14537</v>
      </c>
      <c r="G35" s="18">
        <f>ROUND(F35+F35*12%,0)</f>
        <v>16281</v>
      </c>
    </row>
    <row r="36" spans="1:7" ht="32.25" customHeight="1" x14ac:dyDescent="0.3">
      <c r="A36" s="6">
        <v>24</v>
      </c>
      <c r="B36" s="11" t="s">
        <v>60</v>
      </c>
      <c r="C36" s="5">
        <v>6113</v>
      </c>
      <c r="D36" s="5">
        <v>1</v>
      </c>
      <c r="E36" s="8" t="s">
        <v>98</v>
      </c>
      <c r="F36" s="20">
        <f>ROUND(3328*2.6*1.2*1.4,0)</f>
        <v>14537</v>
      </c>
      <c r="G36" s="18">
        <f>F36</f>
        <v>14537</v>
      </c>
    </row>
    <row r="37" spans="1:7" ht="32.25" customHeight="1" x14ac:dyDescent="0.3">
      <c r="A37" s="6">
        <v>25</v>
      </c>
      <c r="B37" s="14" t="s">
        <v>30</v>
      </c>
      <c r="C37" s="5">
        <v>7233</v>
      </c>
      <c r="D37" s="5">
        <v>1</v>
      </c>
      <c r="E37" s="8" t="s">
        <v>99</v>
      </c>
      <c r="F37" s="20">
        <f>ROUND(3328*2.6*1.35*1.46,0)</f>
        <v>17055</v>
      </c>
      <c r="G37" s="18">
        <f>ROUND(F37+F37*16%,0)</f>
        <v>19784</v>
      </c>
    </row>
    <row r="38" spans="1:7" ht="32.25" customHeight="1" x14ac:dyDescent="0.3">
      <c r="A38" s="6">
        <v>26</v>
      </c>
      <c r="B38" s="14" t="s">
        <v>72</v>
      </c>
      <c r="C38" s="5">
        <v>7241</v>
      </c>
      <c r="D38" s="5">
        <v>1</v>
      </c>
      <c r="E38" s="8" t="s">
        <v>102</v>
      </c>
      <c r="F38" s="20">
        <f>ROUND(3328*2.6*1.25*1.53,0)</f>
        <v>16548</v>
      </c>
      <c r="G38" s="18">
        <f>ROUND(F38+F38*12%,0)</f>
        <v>18534</v>
      </c>
    </row>
    <row r="39" spans="1:7" ht="32.25" customHeight="1" x14ac:dyDescent="0.3">
      <c r="A39" s="6">
        <v>27</v>
      </c>
      <c r="B39" s="11" t="s">
        <v>31</v>
      </c>
      <c r="C39" s="5">
        <v>5169</v>
      </c>
      <c r="D39" s="5">
        <v>8</v>
      </c>
      <c r="E39" s="8" t="s">
        <v>100</v>
      </c>
      <c r="F39" s="20">
        <f>ROUND(3328*2.6*1*1.34,0)</f>
        <v>11595</v>
      </c>
      <c r="G39" s="18">
        <f>ROUND(F39+1484,0)*D39</f>
        <v>104632</v>
      </c>
    </row>
    <row r="40" spans="1:7" ht="32.25" customHeight="1" thickBot="1" x14ac:dyDescent="0.35">
      <c r="A40" s="60">
        <v>28</v>
      </c>
      <c r="B40" s="47" t="s">
        <v>32</v>
      </c>
      <c r="C40" s="31">
        <v>9132</v>
      </c>
      <c r="D40" s="31">
        <v>1</v>
      </c>
      <c r="E40" s="48" t="s">
        <v>101</v>
      </c>
      <c r="F40" s="32">
        <f>ROUND(3328*2.6*1*1.47,0)</f>
        <v>12720</v>
      </c>
      <c r="G40" s="49">
        <f>ROUND(F40+F40*12%,0)</f>
        <v>14246</v>
      </c>
    </row>
    <row r="41" spans="1:7" ht="22.2" customHeight="1" thickBot="1" x14ac:dyDescent="0.35">
      <c r="A41" s="50"/>
      <c r="B41" s="9" t="s">
        <v>61</v>
      </c>
      <c r="C41" s="9"/>
      <c r="D41" s="10">
        <f>SUM(D13:D40)</f>
        <v>90.5</v>
      </c>
      <c r="E41" s="9"/>
      <c r="F41" s="23"/>
      <c r="G41" s="23">
        <f>SUM(G13:G40)</f>
        <v>1743873</v>
      </c>
    </row>
    <row r="42" spans="1:7" x14ac:dyDescent="0.3">
      <c r="A42" s="4"/>
      <c r="B42" s="4"/>
      <c r="C42" s="4"/>
      <c r="D42" s="4"/>
      <c r="E42" s="4"/>
      <c r="F42" s="4"/>
      <c r="G42" s="4"/>
    </row>
    <row r="43" spans="1:7" x14ac:dyDescent="0.3">
      <c r="A43" s="4"/>
      <c r="B43" s="4"/>
      <c r="C43" s="4"/>
      <c r="D43" s="4"/>
      <c r="E43" s="4"/>
      <c r="F43" s="4"/>
      <c r="G43" s="4"/>
    </row>
    <row r="44" spans="1:7" ht="19.5" customHeight="1" x14ac:dyDescent="0.3">
      <c r="A44" s="63" t="s">
        <v>62</v>
      </c>
      <c r="B44" s="63"/>
      <c r="C44" s="63"/>
      <c r="D44" s="64" t="s">
        <v>63</v>
      </c>
      <c r="E44" s="64"/>
      <c r="F44" s="64" t="s">
        <v>103</v>
      </c>
      <c r="G44" s="64"/>
    </row>
    <row r="45" spans="1:7" ht="39" customHeight="1" x14ac:dyDescent="0.3">
      <c r="A45" s="63" t="s">
        <v>10</v>
      </c>
      <c r="B45" s="63"/>
      <c r="C45" s="63"/>
      <c r="D45" s="64" t="s">
        <v>63</v>
      </c>
      <c r="E45" s="64"/>
      <c r="F45" s="64" t="s">
        <v>104</v>
      </c>
      <c r="G45" s="64"/>
    </row>
  </sheetData>
  <mergeCells count="20">
    <mergeCell ref="A1:C1"/>
    <mergeCell ref="E1:G1"/>
    <mergeCell ref="A2:C2"/>
    <mergeCell ref="E2:G2"/>
    <mergeCell ref="A3:C3"/>
    <mergeCell ref="E3:G3"/>
    <mergeCell ref="A4:C4"/>
    <mergeCell ref="E4:G4"/>
    <mergeCell ref="A5:C5"/>
    <mergeCell ref="E5:G5"/>
    <mergeCell ref="A6:C6"/>
    <mergeCell ref="E6:G6"/>
    <mergeCell ref="A9:G9"/>
    <mergeCell ref="A10:G10"/>
    <mergeCell ref="A44:C44"/>
    <mergeCell ref="D44:E44"/>
    <mergeCell ref="F44:G44"/>
    <mergeCell ref="A45:C45"/>
    <mergeCell ref="D45:E45"/>
    <mergeCell ref="F45:G45"/>
  </mergeCells>
  <phoneticPr fontId="10" type="noConversion"/>
  <pageMargins left="0.78740157480314965" right="0.59055118110236227" top="0.39370078740157483" bottom="0.39370078740157483" header="0.31496062992125984" footer="0.31496062992125984"/>
  <pageSetup paperSize="9" scale="6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27216-5098-44CF-BA3E-41F5E5821D72}">
  <dimension ref="A1:M38"/>
  <sheetViews>
    <sheetView tabSelected="1" view="pageBreakPreview" zoomScale="60" zoomScaleNormal="80" workbookViewId="0">
      <selection activeCell="A41" sqref="A41"/>
    </sheetView>
  </sheetViews>
  <sheetFormatPr defaultRowHeight="14.4" x14ac:dyDescent="0.3"/>
  <cols>
    <col min="1" max="1" width="55.6640625" customWidth="1"/>
    <col min="2" max="2" width="11.44140625" customWidth="1"/>
    <col min="3" max="3" width="14.33203125" customWidth="1"/>
    <col min="4" max="4" width="11.44140625" customWidth="1"/>
    <col min="5" max="5" width="11.33203125" customWidth="1"/>
    <col min="6" max="6" width="9.5546875" customWidth="1"/>
    <col min="7" max="7" width="10.109375" customWidth="1"/>
    <col min="8" max="8" width="12.88671875" customWidth="1"/>
    <col min="9" max="9" width="11.44140625" customWidth="1"/>
    <col min="10" max="10" width="14.109375" customWidth="1"/>
    <col min="11" max="11" width="15.88671875" customWidth="1"/>
    <col min="12" max="12" width="7.44140625" customWidth="1"/>
  </cols>
  <sheetData>
    <row r="1" spans="1:13" ht="17.399999999999999" x14ac:dyDescent="0.3">
      <c r="A1" s="62" t="s">
        <v>64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3" x14ac:dyDescent="0.3">
      <c r="A2" s="71" t="s">
        <v>40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3" ht="15" thickBot="1" x14ac:dyDescent="0.35">
      <c r="A3" s="72" t="s">
        <v>108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3" ht="46.8" x14ac:dyDescent="0.3">
      <c r="A4" s="35" t="s">
        <v>0</v>
      </c>
      <c r="B4" s="36" t="s">
        <v>1</v>
      </c>
      <c r="C4" s="36" t="s">
        <v>34</v>
      </c>
      <c r="D4" s="36" t="s">
        <v>2</v>
      </c>
      <c r="E4" s="36" t="s">
        <v>3</v>
      </c>
      <c r="F4" s="36" t="s">
        <v>4</v>
      </c>
      <c r="G4" s="36" t="s">
        <v>36</v>
      </c>
      <c r="H4" s="36" t="s">
        <v>5</v>
      </c>
      <c r="I4" s="36" t="s">
        <v>6</v>
      </c>
      <c r="J4" s="36" t="s">
        <v>7</v>
      </c>
      <c r="K4" s="36" t="s">
        <v>8</v>
      </c>
      <c r="L4" s="1"/>
    </row>
    <row r="5" spans="1:13" ht="15.6" hidden="1" x14ac:dyDescent="0.3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3" ht="15.6" x14ac:dyDescent="0.3">
      <c r="A6" s="37" t="s">
        <v>9</v>
      </c>
      <c r="B6" s="2" t="s">
        <v>39</v>
      </c>
      <c r="C6" s="2"/>
      <c r="D6" s="2">
        <v>2.6</v>
      </c>
      <c r="E6" s="2">
        <v>3.9</v>
      </c>
      <c r="F6" s="2">
        <v>1.77</v>
      </c>
      <c r="G6" s="2">
        <v>1</v>
      </c>
      <c r="H6" s="16">
        <f>ROUND(3328*D6*E6*F6,0)</f>
        <v>59730</v>
      </c>
      <c r="I6" s="3"/>
      <c r="J6" s="16">
        <f>ROUND(G6*(H6+I6),0)</f>
        <v>59730</v>
      </c>
      <c r="K6" s="16">
        <f>ROUND(J6*12,0)</f>
        <v>716760</v>
      </c>
      <c r="L6" s="24"/>
      <c r="M6" s="58"/>
    </row>
    <row r="7" spans="1:13" ht="15.6" x14ac:dyDescent="0.3">
      <c r="A7" s="38" t="s">
        <v>71</v>
      </c>
      <c r="B7" s="2" t="s">
        <v>39</v>
      </c>
      <c r="C7" s="2"/>
      <c r="D7" s="2">
        <v>2.6</v>
      </c>
      <c r="E7" s="2">
        <v>3.4</v>
      </c>
      <c r="F7" s="2">
        <v>1.69</v>
      </c>
      <c r="G7" s="2">
        <v>1</v>
      </c>
      <c r="H7" s="16">
        <f t="shared" ref="H7:H17" si="0">ROUND(3328*D7*E7*F7,0)</f>
        <v>49719</v>
      </c>
      <c r="I7" s="3"/>
      <c r="J7" s="16">
        <f t="shared" ref="J7:J17" si="1">ROUND(G7*(H7+I7),0)</f>
        <v>49719</v>
      </c>
      <c r="K7" s="16">
        <f t="shared" ref="K7:K17" si="2">ROUND(J7*12,0)</f>
        <v>596628</v>
      </c>
    </row>
    <row r="8" spans="1:13" ht="15.6" x14ac:dyDescent="0.3">
      <c r="A8" s="38" t="s">
        <v>10</v>
      </c>
      <c r="B8" s="2">
        <v>1231</v>
      </c>
      <c r="C8" s="2"/>
      <c r="D8" s="2">
        <v>2.6</v>
      </c>
      <c r="E8" s="2">
        <v>3.2</v>
      </c>
      <c r="F8" s="2">
        <v>1.69</v>
      </c>
      <c r="G8" s="2">
        <v>1</v>
      </c>
      <c r="H8" s="16">
        <f t="shared" si="0"/>
        <v>46794</v>
      </c>
      <c r="I8" s="3"/>
      <c r="J8" s="16">
        <f t="shared" si="1"/>
        <v>46794</v>
      </c>
      <c r="K8" s="16">
        <f t="shared" si="2"/>
        <v>561528</v>
      </c>
    </row>
    <row r="9" spans="1:13" ht="15.6" x14ac:dyDescent="0.3">
      <c r="A9" s="37" t="s">
        <v>70</v>
      </c>
      <c r="B9" s="2" t="s">
        <v>12</v>
      </c>
      <c r="C9" s="2"/>
      <c r="D9" s="2">
        <v>2.6</v>
      </c>
      <c r="E9" s="2">
        <v>1.9</v>
      </c>
      <c r="F9" s="2">
        <v>1.69</v>
      </c>
      <c r="G9" s="2">
        <v>2</v>
      </c>
      <c r="H9" s="16">
        <f t="shared" si="0"/>
        <v>27784</v>
      </c>
      <c r="I9" s="16"/>
      <c r="J9" s="16">
        <f t="shared" si="1"/>
        <v>55568</v>
      </c>
      <c r="K9" s="16">
        <f t="shared" si="2"/>
        <v>666816</v>
      </c>
      <c r="L9" s="24"/>
    </row>
    <row r="10" spans="1:13" ht="15.6" x14ac:dyDescent="0.3">
      <c r="A10" s="37" t="s">
        <v>53</v>
      </c>
      <c r="B10" s="2" t="s">
        <v>106</v>
      </c>
      <c r="C10" s="2"/>
      <c r="D10" s="2">
        <v>2.6</v>
      </c>
      <c r="E10" s="2">
        <v>1.9</v>
      </c>
      <c r="F10" s="2">
        <v>1.69</v>
      </c>
      <c r="G10" s="2">
        <v>1</v>
      </c>
      <c r="H10" s="16">
        <f t="shared" si="0"/>
        <v>27784</v>
      </c>
      <c r="I10" s="16"/>
      <c r="J10" s="16">
        <f t="shared" si="1"/>
        <v>27784</v>
      </c>
      <c r="K10" s="16">
        <f t="shared" si="2"/>
        <v>333408</v>
      </c>
      <c r="L10" s="24"/>
    </row>
    <row r="11" spans="1:13" ht="15.6" x14ac:dyDescent="0.3">
      <c r="A11" s="38" t="s">
        <v>13</v>
      </c>
      <c r="B11" s="2" t="s">
        <v>14</v>
      </c>
      <c r="C11" s="2" t="s">
        <v>15</v>
      </c>
      <c r="D11" s="2">
        <v>2.6</v>
      </c>
      <c r="E11" s="15">
        <v>2.2000000000000002</v>
      </c>
      <c r="F11" s="2">
        <v>1.69</v>
      </c>
      <c r="G11" s="2">
        <v>1</v>
      </c>
      <c r="H11" s="16">
        <f t="shared" si="0"/>
        <v>32171</v>
      </c>
      <c r="I11" s="16"/>
      <c r="J11" s="16">
        <f t="shared" si="1"/>
        <v>32171</v>
      </c>
      <c r="K11" s="16">
        <f t="shared" si="2"/>
        <v>386052</v>
      </c>
    </row>
    <row r="12" spans="1:13" ht="15.6" x14ac:dyDescent="0.3">
      <c r="A12" s="38" t="s">
        <v>16</v>
      </c>
      <c r="B12" s="2">
        <v>2149</v>
      </c>
      <c r="C12" s="2"/>
      <c r="D12" s="2">
        <v>2.6</v>
      </c>
      <c r="E12" s="2">
        <v>1.8</v>
      </c>
      <c r="F12" s="2">
        <v>1.69</v>
      </c>
      <c r="G12" s="2">
        <v>1</v>
      </c>
      <c r="H12" s="16">
        <f t="shared" si="0"/>
        <v>26322</v>
      </c>
      <c r="I12" s="16"/>
      <c r="J12" s="16">
        <f t="shared" si="1"/>
        <v>26322</v>
      </c>
      <c r="K12" s="16">
        <f t="shared" si="2"/>
        <v>315864</v>
      </c>
    </row>
    <row r="13" spans="1:13" ht="15.6" x14ac:dyDescent="0.3">
      <c r="A13" s="38" t="s">
        <v>17</v>
      </c>
      <c r="B13" s="2" t="s">
        <v>38</v>
      </c>
      <c r="C13" s="2" t="s">
        <v>15</v>
      </c>
      <c r="D13" s="2">
        <v>2.6</v>
      </c>
      <c r="E13" s="2">
        <v>2.2000000000000002</v>
      </c>
      <c r="F13" s="2">
        <v>1.69</v>
      </c>
      <c r="G13" s="2">
        <v>0.5</v>
      </c>
      <c r="H13" s="16">
        <f t="shared" si="0"/>
        <v>32171</v>
      </c>
      <c r="I13" s="16"/>
      <c r="J13" s="16">
        <f t="shared" si="1"/>
        <v>16086</v>
      </c>
      <c r="K13" s="16">
        <f t="shared" si="2"/>
        <v>193032</v>
      </c>
    </row>
    <row r="14" spans="1:13" ht="15.6" x14ac:dyDescent="0.3">
      <c r="A14" s="38" t="s">
        <v>68</v>
      </c>
      <c r="B14" s="2">
        <v>2429</v>
      </c>
      <c r="C14" s="2"/>
      <c r="D14" s="2">
        <v>2.6</v>
      </c>
      <c r="E14" s="2">
        <v>2</v>
      </c>
      <c r="F14" s="2">
        <v>1.69</v>
      </c>
      <c r="G14" s="2">
        <v>1</v>
      </c>
      <c r="H14" s="16">
        <f t="shared" si="0"/>
        <v>29246</v>
      </c>
      <c r="I14" s="16"/>
      <c r="J14" s="16">
        <f t="shared" si="1"/>
        <v>29246</v>
      </c>
      <c r="K14" s="16">
        <f t="shared" si="2"/>
        <v>350952</v>
      </c>
    </row>
    <row r="15" spans="1:13" ht="15.6" x14ac:dyDescent="0.3">
      <c r="A15" s="38" t="s">
        <v>18</v>
      </c>
      <c r="B15" s="2">
        <v>3433</v>
      </c>
      <c r="C15" s="2" t="s">
        <v>66</v>
      </c>
      <c r="D15" s="2">
        <v>2.6</v>
      </c>
      <c r="E15" s="2">
        <v>2</v>
      </c>
      <c r="F15" s="2">
        <v>1.69</v>
      </c>
      <c r="G15" s="2">
        <v>1</v>
      </c>
      <c r="H15" s="16">
        <f t="shared" si="0"/>
        <v>29246</v>
      </c>
      <c r="I15" s="16">
        <f>H15*30%</f>
        <v>8773.7999999999993</v>
      </c>
      <c r="J15" s="16">
        <f>ROUND(G15*(H15+I15),0)</f>
        <v>38020</v>
      </c>
      <c r="K15" s="16">
        <f t="shared" si="2"/>
        <v>456240</v>
      </c>
    </row>
    <row r="16" spans="1:13" ht="15.6" x14ac:dyDescent="0.3">
      <c r="A16" s="39" t="s">
        <v>107</v>
      </c>
      <c r="B16" s="25">
        <v>3119</v>
      </c>
      <c r="C16" s="25"/>
      <c r="D16" s="25">
        <v>2.6</v>
      </c>
      <c r="E16" s="25">
        <v>1.7</v>
      </c>
      <c r="F16" s="25">
        <v>1.69</v>
      </c>
      <c r="G16" s="25">
        <v>1</v>
      </c>
      <c r="H16" s="16">
        <f t="shared" si="0"/>
        <v>24859</v>
      </c>
      <c r="I16" s="26"/>
      <c r="J16" s="16">
        <f>ROUND(G16*(H16+I16),0)</f>
        <v>24859</v>
      </c>
      <c r="K16" s="16">
        <f t="shared" si="2"/>
        <v>298308</v>
      </c>
    </row>
    <row r="17" spans="1:12" ht="16.2" thickBot="1" x14ac:dyDescent="0.35">
      <c r="A17" s="39" t="s">
        <v>19</v>
      </c>
      <c r="B17" s="25">
        <v>3423</v>
      </c>
      <c r="C17" s="25"/>
      <c r="D17" s="25">
        <v>2.6</v>
      </c>
      <c r="E17" s="25">
        <v>1.7</v>
      </c>
      <c r="F17" s="25">
        <v>1.69</v>
      </c>
      <c r="G17" s="25">
        <v>1</v>
      </c>
      <c r="H17" s="16">
        <f t="shared" si="0"/>
        <v>24859</v>
      </c>
      <c r="I17" s="26">
        <f>H17*20%</f>
        <v>4971.8</v>
      </c>
      <c r="J17" s="16">
        <f t="shared" si="1"/>
        <v>29831</v>
      </c>
      <c r="K17" s="16">
        <f t="shared" si="2"/>
        <v>357972</v>
      </c>
    </row>
    <row r="18" spans="1:12" ht="16.2" thickBot="1" x14ac:dyDescent="0.35">
      <c r="A18" s="28" t="s">
        <v>20</v>
      </c>
      <c r="B18" s="75"/>
      <c r="C18" s="75"/>
      <c r="D18" s="75"/>
      <c r="E18" s="75"/>
      <c r="F18" s="75"/>
      <c r="G18" s="29">
        <f>SUM(G6:G17)</f>
        <v>12.5</v>
      </c>
      <c r="H18" s="30">
        <f>SUM(H6:H17)</f>
        <v>410685</v>
      </c>
      <c r="I18" s="30">
        <f>SUM(I6:I17)</f>
        <v>13745.599999999999</v>
      </c>
      <c r="J18" s="30">
        <f>SUM(J6:J17)</f>
        <v>436130</v>
      </c>
      <c r="K18" s="30">
        <f>SUM(K6:K17)</f>
        <v>5233560</v>
      </c>
    </row>
    <row r="19" spans="1:12" ht="46.8" x14ac:dyDescent="0.3">
      <c r="A19" s="40" t="s">
        <v>0</v>
      </c>
      <c r="B19" s="27" t="s">
        <v>1</v>
      </c>
      <c r="C19" s="27" t="s">
        <v>35</v>
      </c>
      <c r="D19" s="27" t="s">
        <v>2</v>
      </c>
      <c r="E19" s="27" t="s">
        <v>21</v>
      </c>
      <c r="F19" s="27" t="s">
        <v>22</v>
      </c>
      <c r="G19" s="27" t="s">
        <v>36</v>
      </c>
      <c r="H19" s="27" t="s">
        <v>5</v>
      </c>
      <c r="I19" s="27" t="s">
        <v>6</v>
      </c>
      <c r="J19" s="27" t="s">
        <v>7</v>
      </c>
      <c r="K19" s="27" t="s">
        <v>8</v>
      </c>
    </row>
    <row r="20" spans="1:12" ht="34.5" customHeight="1" x14ac:dyDescent="0.3">
      <c r="A20" s="55" t="s">
        <v>73</v>
      </c>
      <c r="B20" s="7">
        <v>8322</v>
      </c>
      <c r="C20" s="7" t="s">
        <v>23</v>
      </c>
      <c r="D20" s="7">
        <v>2.6</v>
      </c>
      <c r="E20" s="7">
        <v>1</v>
      </c>
      <c r="F20" s="7">
        <v>2.23</v>
      </c>
      <c r="G20" s="7">
        <v>1</v>
      </c>
      <c r="H20" s="17">
        <f>ROUND(3328*D20*E20*F20,0)</f>
        <v>19296</v>
      </c>
      <c r="I20" s="17"/>
      <c r="J20" s="17">
        <f>ROUND(G20*(H20+I20),0)</f>
        <v>19296</v>
      </c>
      <c r="K20" s="17">
        <f>ROUND(J20*12,0)</f>
        <v>231552</v>
      </c>
    </row>
    <row r="21" spans="1:12" ht="33" customHeight="1" x14ac:dyDescent="0.3">
      <c r="A21" s="55" t="s">
        <v>74</v>
      </c>
      <c r="B21" s="7">
        <v>8322</v>
      </c>
      <c r="C21" s="7"/>
      <c r="D21" s="7">
        <v>2.6</v>
      </c>
      <c r="E21" s="7">
        <v>1</v>
      </c>
      <c r="F21" s="7">
        <v>2.58</v>
      </c>
      <c r="G21" s="7">
        <v>1</v>
      </c>
      <c r="H21" s="17">
        <f t="shared" ref="H21:H34" si="3">ROUND(3328*D21*E21*F21,0)</f>
        <v>22324</v>
      </c>
      <c r="I21" s="17"/>
      <c r="J21" s="17">
        <f t="shared" ref="J21:J34" si="4">ROUND(G21*(H21+I21),0)</f>
        <v>22324</v>
      </c>
      <c r="K21" s="17">
        <f t="shared" ref="K21:K36" si="5">ROUND(J21*12,0)</f>
        <v>267888</v>
      </c>
    </row>
    <row r="22" spans="1:12" ht="35.25" customHeight="1" x14ac:dyDescent="0.3">
      <c r="A22" s="55" t="s">
        <v>75</v>
      </c>
      <c r="B22" s="7">
        <v>8322</v>
      </c>
      <c r="C22" s="7"/>
      <c r="D22" s="7">
        <v>2.6</v>
      </c>
      <c r="E22" s="7">
        <v>1</v>
      </c>
      <c r="F22" s="7">
        <v>2.4500000000000002</v>
      </c>
      <c r="G22" s="7">
        <v>2</v>
      </c>
      <c r="H22" s="17">
        <f t="shared" si="3"/>
        <v>21199</v>
      </c>
      <c r="I22" s="17"/>
      <c r="J22" s="17">
        <f t="shared" si="4"/>
        <v>42398</v>
      </c>
      <c r="K22" s="17">
        <f t="shared" si="5"/>
        <v>508776</v>
      </c>
    </row>
    <row r="23" spans="1:12" ht="15.6" customHeight="1" x14ac:dyDescent="0.3">
      <c r="A23" s="55" t="s">
        <v>24</v>
      </c>
      <c r="B23" s="7">
        <v>8332</v>
      </c>
      <c r="C23" s="7">
        <v>5</v>
      </c>
      <c r="D23" s="7">
        <v>2.6</v>
      </c>
      <c r="E23" s="7">
        <v>1.54</v>
      </c>
      <c r="F23" s="7">
        <v>1.34</v>
      </c>
      <c r="G23" s="7">
        <v>7</v>
      </c>
      <c r="H23" s="17">
        <f t="shared" si="3"/>
        <v>17856</v>
      </c>
      <c r="I23" s="17">
        <f>H23*12%</f>
        <v>2142.7199999999998</v>
      </c>
      <c r="J23" s="17">
        <f t="shared" si="4"/>
        <v>139991</v>
      </c>
      <c r="K23" s="17">
        <f t="shared" si="5"/>
        <v>1679892</v>
      </c>
    </row>
    <row r="24" spans="1:12" ht="33.75" customHeight="1" x14ac:dyDescent="0.3">
      <c r="A24" s="55" t="s">
        <v>25</v>
      </c>
      <c r="B24" s="7">
        <v>8332</v>
      </c>
      <c r="C24" s="7">
        <v>4</v>
      </c>
      <c r="D24" s="7">
        <v>2.6</v>
      </c>
      <c r="E24" s="7">
        <v>1.35</v>
      </c>
      <c r="F24" s="7">
        <v>2.23</v>
      </c>
      <c r="G24" s="7">
        <v>1</v>
      </c>
      <c r="H24" s="17">
        <f t="shared" si="3"/>
        <v>26049</v>
      </c>
      <c r="I24" s="17"/>
      <c r="J24" s="17">
        <f t="shared" si="4"/>
        <v>26049</v>
      </c>
      <c r="K24" s="17">
        <f t="shared" si="5"/>
        <v>312588</v>
      </c>
    </row>
    <row r="25" spans="1:12" ht="15.6" customHeight="1" x14ac:dyDescent="0.3">
      <c r="A25" s="55" t="s">
        <v>26</v>
      </c>
      <c r="B25" s="7">
        <v>9162</v>
      </c>
      <c r="C25" s="7" t="s">
        <v>23</v>
      </c>
      <c r="D25" s="7">
        <v>2.6</v>
      </c>
      <c r="E25" s="7">
        <v>1</v>
      </c>
      <c r="F25" s="7">
        <v>1.77</v>
      </c>
      <c r="G25" s="7">
        <v>41</v>
      </c>
      <c r="H25" s="17">
        <f t="shared" si="3"/>
        <v>15315</v>
      </c>
      <c r="I25" s="17"/>
      <c r="J25" s="17">
        <f t="shared" si="4"/>
        <v>627915</v>
      </c>
      <c r="K25" s="17">
        <f t="shared" si="5"/>
        <v>7534980</v>
      </c>
    </row>
    <row r="26" spans="1:12" ht="16.2" customHeight="1" x14ac:dyDescent="0.3">
      <c r="A26" s="56" t="s">
        <v>27</v>
      </c>
      <c r="B26" s="7">
        <v>9161</v>
      </c>
      <c r="C26" s="7">
        <v>2</v>
      </c>
      <c r="D26" s="7">
        <v>2.6</v>
      </c>
      <c r="E26" s="7">
        <v>1.08</v>
      </c>
      <c r="F26" s="7">
        <v>1.77</v>
      </c>
      <c r="G26" s="7">
        <v>10</v>
      </c>
      <c r="H26" s="17">
        <f t="shared" si="3"/>
        <v>16541</v>
      </c>
      <c r="I26" s="17">
        <f>H26*20%</f>
        <v>3308.2000000000003</v>
      </c>
      <c r="J26" s="17">
        <f t="shared" si="4"/>
        <v>198492</v>
      </c>
      <c r="K26" s="17">
        <f t="shared" si="5"/>
        <v>2381904</v>
      </c>
      <c r="L26" s="24"/>
    </row>
    <row r="27" spans="1:12" ht="34.5" customHeight="1" x14ac:dyDescent="0.3">
      <c r="A27" s="55" t="s">
        <v>76</v>
      </c>
      <c r="B27" s="7">
        <v>8111</v>
      </c>
      <c r="C27" s="7">
        <v>3</v>
      </c>
      <c r="D27" s="7">
        <v>2.6</v>
      </c>
      <c r="E27" s="7">
        <v>1.2</v>
      </c>
      <c r="F27" s="7">
        <v>2.2000000000000002</v>
      </c>
      <c r="G27" s="7">
        <v>1</v>
      </c>
      <c r="H27" s="17">
        <f t="shared" si="3"/>
        <v>22843</v>
      </c>
      <c r="I27" s="17"/>
      <c r="J27" s="17">
        <f t="shared" si="4"/>
        <v>22843</v>
      </c>
      <c r="K27" s="17">
        <f t="shared" si="5"/>
        <v>274116</v>
      </c>
    </row>
    <row r="28" spans="1:12" ht="16.2" customHeight="1" x14ac:dyDescent="0.3">
      <c r="A28" s="55" t="s">
        <v>28</v>
      </c>
      <c r="B28" s="7" t="s">
        <v>29</v>
      </c>
      <c r="C28" s="7">
        <v>3</v>
      </c>
      <c r="D28" s="7">
        <v>2.6</v>
      </c>
      <c r="E28" s="7">
        <v>1.2</v>
      </c>
      <c r="F28" s="7">
        <v>1.4</v>
      </c>
      <c r="G28" s="7">
        <v>1</v>
      </c>
      <c r="H28" s="17">
        <f t="shared" si="3"/>
        <v>14537</v>
      </c>
      <c r="I28" s="17">
        <f>H28*12%</f>
        <v>1744.4399999999998</v>
      </c>
      <c r="J28" s="17">
        <f t="shared" si="4"/>
        <v>16281</v>
      </c>
      <c r="K28" s="17">
        <f t="shared" si="5"/>
        <v>195372</v>
      </c>
    </row>
    <row r="29" spans="1:12" ht="17.399999999999999" customHeight="1" x14ac:dyDescent="0.3">
      <c r="A29" s="55" t="s">
        <v>28</v>
      </c>
      <c r="B29" s="7" t="s">
        <v>29</v>
      </c>
      <c r="C29" s="7">
        <v>3</v>
      </c>
      <c r="D29" s="7">
        <v>2.6</v>
      </c>
      <c r="E29" s="7">
        <v>1.2</v>
      </c>
      <c r="F29" s="7">
        <v>1.4</v>
      </c>
      <c r="G29" s="7">
        <v>1</v>
      </c>
      <c r="H29" s="17">
        <f t="shared" si="3"/>
        <v>14537</v>
      </c>
      <c r="I29" s="17"/>
      <c r="J29" s="17">
        <f t="shared" si="4"/>
        <v>14537</v>
      </c>
      <c r="K29" s="17">
        <f t="shared" si="5"/>
        <v>174444</v>
      </c>
    </row>
    <row r="30" spans="1:12" ht="35.25" customHeight="1" x14ac:dyDescent="0.3">
      <c r="A30" s="55" t="s">
        <v>67</v>
      </c>
      <c r="B30" s="7">
        <v>8322</v>
      </c>
      <c r="C30" s="7" t="s">
        <v>23</v>
      </c>
      <c r="D30" s="7">
        <v>2.6</v>
      </c>
      <c r="E30" s="7">
        <v>1</v>
      </c>
      <c r="F30" s="7">
        <v>2.36</v>
      </c>
      <c r="G30" s="7">
        <v>1</v>
      </c>
      <c r="H30" s="17">
        <f t="shared" si="3"/>
        <v>20421</v>
      </c>
      <c r="I30" s="17"/>
      <c r="J30" s="17">
        <f t="shared" si="4"/>
        <v>20421</v>
      </c>
      <c r="K30" s="17">
        <f t="shared" si="5"/>
        <v>245052</v>
      </c>
    </row>
    <row r="31" spans="1:12" ht="33" customHeight="1" x14ac:dyDescent="0.3">
      <c r="A31" s="55" t="s">
        <v>30</v>
      </c>
      <c r="B31" s="7">
        <v>7233</v>
      </c>
      <c r="C31" s="7">
        <v>4</v>
      </c>
      <c r="D31" s="7">
        <v>2.6</v>
      </c>
      <c r="E31" s="7">
        <v>1.35</v>
      </c>
      <c r="F31" s="7">
        <v>1.46</v>
      </c>
      <c r="G31" s="7">
        <v>1</v>
      </c>
      <c r="H31" s="17">
        <f t="shared" si="3"/>
        <v>17055</v>
      </c>
      <c r="I31" s="17">
        <f>H31*16%</f>
        <v>2728.8</v>
      </c>
      <c r="J31" s="17">
        <f t="shared" si="4"/>
        <v>19784</v>
      </c>
      <c r="K31" s="17">
        <f t="shared" si="5"/>
        <v>237408</v>
      </c>
    </row>
    <row r="32" spans="1:12" ht="35.25" customHeight="1" x14ac:dyDescent="0.3">
      <c r="A32" s="55" t="s">
        <v>72</v>
      </c>
      <c r="B32" s="7">
        <v>7241</v>
      </c>
      <c r="C32" s="7">
        <v>3</v>
      </c>
      <c r="D32" s="7">
        <v>2.6</v>
      </c>
      <c r="E32" s="7">
        <v>1.25</v>
      </c>
      <c r="F32" s="7">
        <v>1.53</v>
      </c>
      <c r="G32" s="7">
        <v>1</v>
      </c>
      <c r="H32" s="17">
        <f t="shared" si="3"/>
        <v>16548</v>
      </c>
      <c r="I32" s="17">
        <f>H32*12%</f>
        <v>1985.76</v>
      </c>
      <c r="J32" s="17">
        <f t="shared" si="4"/>
        <v>18534</v>
      </c>
      <c r="K32" s="17">
        <f t="shared" si="5"/>
        <v>222408</v>
      </c>
    </row>
    <row r="33" spans="1:11" ht="15" customHeight="1" x14ac:dyDescent="0.3">
      <c r="A33" s="57" t="s">
        <v>31</v>
      </c>
      <c r="B33" s="7">
        <v>5169</v>
      </c>
      <c r="C33" s="7" t="s">
        <v>23</v>
      </c>
      <c r="D33" s="7">
        <v>2.6</v>
      </c>
      <c r="E33" s="7">
        <v>1</v>
      </c>
      <c r="F33" s="7">
        <v>1.34</v>
      </c>
      <c r="G33" s="7">
        <v>8</v>
      </c>
      <c r="H33" s="17">
        <f t="shared" si="3"/>
        <v>11595</v>
      </c>
      <c r="I33" s="17">
        <v>1484</v>
      </c>
      <c r="J33" s="17">
        <f t="shared" si="4"/>
        <v>104632</v>
      </c>
      <c r="K33" s="17">
        <f t="shared" si="5"/>
        <v>1255584</v>
      </c>
    </row>
    <row r="34" spans="1:11" ht="15.6" customHeight="1" thickBot="1" x14ac:dyDescent="0.35">
      <c r="A34" s="57" t="s">
        <v>32</v>
      </c>
      <c r="B34" s="7">
        <v>9132</v>
      </c>
      <c r="C34" s="7" t="s">
        <v>23</v>
      </c>
      <c r="D34" s="7">
        <v>2.6</v>
      </c>
      <c r="E34" s="7">
        <v>1</v>
      </c>
      <c r="F34" s="7">
        <v>1.47</v>
      </c>
      <c r="G34" s="7">
        <v>1</v>
      </c>
      <c r="H34" s="17">
        <f t="shared" si="3"/>
        <v>12720</v>
      </c>
      <c r="I34" s="17">
        <f>H34*12%</f>
        <v>1526.3999999999999</v>
      </c>
      <c r="J34" s="17">
        <f t="shared" si="4"/>
        <v>14246</v>
      </c>
      <c r="K34" s="17">
        <f t="shared" si="5"/>
        <v>170952</v>
      </c>
    </row>
    <row r="35" spans="1:11" ht="18.600000000000001" hidden="1" customHeight="1" thickBot="1" x14ac:dyDescent="0.35">
      <c r="A35" s="38"/>
      <c r="B35" s="7"/>
      <c r="C35" s="7"/>
      <c r="D35" s="7"/>
      <c r="E35" s="7"/>
      <c r="F35" s="7"/>
      <c r="G35" s="7"/>
      <c r="H35" s="17"/>
      <c r="I35" s="17"/>
      <c r="J35" s="17"/>
      <c r="K35" s="17">
        <f t="shared" si="5"/>
        <v>0</v>
      </c>
    </row>
    <row r="36" spans="1:11" ht="19.2" hidden="1" customHeight="1" thickBot="1" x14ac:dyDescent="0.35">
      <c r="A36" s="39"/>
      <c r="B36" s="31"/>
      <c r="C36" s="31"/>
      <c r="D36" s="31"/>
      <c r="E36" s="31"/>
      <c r="F36" s="31"/>
      <c r="G36" s="31"/>
      <c r="H36" s="32"/>
      <c r="I36" s="32"/>
      <c r="J36" s="32"/>
      <c r="K36" s="17">
        <f t="shared" si="5"/>
        <v>0</v>
      </c>
    </row>
    <row r="37" spans="1:11" ht="16.2" thickBot="1" x14ac:dyDescent="0.35">
      <c r="A37" s="28" t="s">
        <v>69</v>
      </c>
      <c r="B37" s="75"/>
      <c r="C37" s="75"/>
      <c r="D37" s="75"/>
      <c r="E37" s="75"/>
      <c r="F37" s="75"/>
      <c r="G37" s="29">
        <f>SUM(G20:G34)</f>
        <v>78</v>
      </c>
      <c r="H37" s="30">
        <f>SUM(H20:H34)</f>
        <v>268836</v>
      </c>
      <c r="I37" s="30">
        <f>SUM(I20:I34)</f>
        <v>14920.32</v>
      </c>
      <c r="J37" s="30">
        <f>SUM(J20:J34)</f>
        <v>1307743</v>
      </c>
      <c r="K37" s="30">
        <f>SUM(K20:K34)</f>
        <v>15692916</v>
      </c>
    </row>
    <row r="38" spans="1:11" ht="16.2" thickBot="1" x14ac:dyDescent="0.35">
      <c r="A38" s="69" t="s">
        <v>33</v>
      </c>
      <c r="B38" s="70"/>
      <c r="C38" s="70"/>
      <c r="D38" s="70"/>
      <c r="E38" s="70"/>
      <c r="F38" s="70"/>
      <c r="G38" s="33">
        <f>G18+G37</f>
        <v>90.5</v>
      </c>
      <c r="H38" s="34">
        <f>H18+H37</f>
        <v>679521</v>
      </c>
      <c r="I38" s="34">
        <f>I18+I37</f>
        <v>28665.919999999998</v>
      </c>
      <c r="J38" s="34">
        <f>J18+J37</f>
        <v>1743873</v>
      </c>
      <c r="K38" s="34">
        <f>K18+K37</f>
        <v>20926476</v>
      </c>
    </row>
  </sheetData>
  <mergeCells count="7">
    <mergeCell ref="A38:F38"/>
    <mergeCell ref="A1:K1"/>
    <mergeCell ref="A2:K2"/>
    <mergeCell ref="A3:K3"/>
    <mergeCell ref="A5:K5"/>
    <mergeCell ref="B18:F18"/>
    <mergeCell ref="B37:F37"/>
  </mergeCells>
  <pageMargins left="0.78740157480314965" right="0.39370078740157483" top="0.59055118110236227" bottom="0.59055118110236227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Штатний розпис</vt:lpstr>
      <vt:lpstr>Розрахунок до штатного розпису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ÐžÐ»ÐµÐ³ ÐÐ´Ð°Ð¼Ð¾Ð²</dc:creator>
  <cp:keywords>office 2007 openxml php</cp:keywords>
  <dc:description>Test document for Office 2007 XLSX, generated using PHP classes.</dc:description>
  <cp:lastModifiedBy>Габріелла Коструб</cp:lastModifiedBy>
  <cp:lastPrinted>2026-09-04T11:06:48Z</cp:lastPrinted>
  <dcterms:created xsi:type="dcterms:W3CDTF">2024-11-12T22:21:12Z</dcterms:created>
  <dcterms:modified xsi:type="dcterms:W3CDTF">2026-09-15T10:34:46Z</dcterms:modified>
  <cp:category>Ð¨Ñ‚Ð°Ñ‚Ð½Ð¸Ð¹ Ñ€Ð¾Ð·Ð¿Ð¸Ñ</cp:category>
</cp:coreProperties>
</file>