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штати-2026р\"/>
    </mc:Choice>
  </mc:AlternateContent>
  <xr:revisionPtr revIDLastSave="0" documentId="13_ncr:1_{FE2853FD-61EE-435E-B178-E14EEF4E58D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Лист1" sheetId="1" r:id="rId1"/>
    <sheet name="Лист1 (2)" sheetId="2" r:id="rId2"/>
    <sheet name="Лист1 (3)" sheetId="3" r:id="rId3"/>
  </sheets>
  <externalReferences>
    <externalReference r:id="rId4"/>
    <externalReference r:id="rId5"/>
  </externalReferences>
  <definedNames>
    <definedName name="ддд">[1]Лист2!$B$1:$B$16</definedName>
    <definedName name="над_за_ранг">[2]Лист2!$B$1:$B$16</definedName>
    <definedName name="ранг">[2]Лист2!$A$1:$A$16</definedName>
    <definedName name="упсз">[1]Лист2!$A$1:$A$16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2" l="1"/>
  <c r="A56" i="2"/>
  <c r="N55" i="2"/>
  <c r="N54" i="2"/>
  <c r="M54" i="2"/>
  <c r="K54" i="2"/>
  <c r="I54" i="2"/>
  <c r="G54" i="2"/>
  <c r="N53" i="2"/>
  <c r="M53" i="2"/>
  <c r="K53" i="2"/>
  <c r="I53" i="2"/>
  <c r="G53" i="2"/>
  <c r="N52" i="2"/>
  <c r="M52" i="2"/>
  <c r="K52" i="2"/>
  <c r="G52" i="2"/>
  <c r="N51" i="2"/>
  <c r="M51" i="2"/>
  <c r="K51" i="2"/>
  <c r="G51" i="2"/>
  <c r="N50" i="2"/>
  <c r="M50" i="2"/>
  <c r="K50" i="2"/>
  <c r="G50" i="2"/>
  <c r="N48" i="2"/>
  <c r="N47" i="2"/>
  <c r="M47" i="2"/>
  <c r="G47" i="2"/>
  <c r="N46" i="2"/>
  <c r="M46" i="2"/>
  <c r="G46" i="2"/>
  <c r="N45" i="2"/>
  <c r="M45" i="2"/>
  <c r="K45" i="2"/>
  <c r="I45" i="2"/>
  <c r="G45" i="2"/>
  <c r="N44" i="2"/>
  <c r="M44" i="2"/>
  <c r="G44" i="2"/>
  <c r="N42" i="2"/>
  <c r="N41" i="2"/>
  <c r="M41" i="2"/>
  <c r="G41" i="2"/>
  <c r="N40" i="2"/>
  <c r="M40" i="2"/>
  <c r="G40" i="2"/>
  <c r="N39" i="2"/>
  <c r="M39" i="2"/>
  <c r="G39" i="2"/>
  <c r="N38" i="2"/>
  <c r="M38" i="2"/>
  <c r="I38" i="2"/>
  <c r="G38" i="2"/>
  <c r="N37" i="2"/>
  <c r="M37" i="2"/>
  <c r="I37" i="2"/>
  <c r="G37" i="2"/>
  <c r="N36" i="2"/>
  <c r="M36" i="2"/>
  <c r="I36" i="2"/>
  <c r="G36" i="2"/>
  <c r="N35" i="2"/>
  <c r="M35" i="2"/>
  <c r="I35" i="2"/>
  <c r="G35" i="2"/>
  <c r="N34" i="2"/>
  <c r="M34" i="2"/>
  <c r="I34" i="2"/>
  <c r="G34" i="2"/>
  <c r="N33" i="2"/>
  <c r="M33" i="2"/>
  <c r="I33" i="2"/>
  <c r="G33" i="2"/>
  <c r="N32" i="2"/>
  <c r="M32" i="2"/>
  <c r="K32" i="2"/>
  <c r="G32" i="2"/>
  <c r="N30" i="2"/>
  <c r="N29" i="2"/>
  <c r="M29" i="2"/>
  <c r="G29" i="2"/>
  <c r="E29" i="2"/>
  <c r="N28" i="2"/>
  <c r="M28" i="2"/>
  <c r="K28" i="2"/>
  <c r="I28" i="2"/>
  <c r="G28" i="2"/>
  <c r="N27" i="2"/>
  <c r="M27" i="2"/>
  <c r="G27" i="2"/>
  <c r="N25" i="2"/>
  <c r="O24" i="2"/>
  <c r="N24" i="2"/>
  <c r="M24" i="2"/>
  <c r="K24" i="2"/>
  <c r="I24" i="2"/>
  <c r="G24" i="2"/>
  <c r="N23" i="2"/>
  <c r="M23" i="2"/>
  <c r="K23" i="2"/>
  <c r="I23" i="2"/>
  <c r="G23" i="2"/>
  <c r="N22" i="2"/>
  <c r="M22" i="2"/>
  <c r="K22" i="2"/>
  <c r="G22" i="2"/>
  <c r="N19" i="2"/>
  <c r="N18" i="2"/>
  <c r="M18" i="2"/>
  <c r="G18" i="2"/>
  <c r="N17" i="2"/>
  <c r="M17" i="2"/>
  <c r="G17" i="2"/>
  <c r="N16" i="2"/>
  <c r="M16" i="2"/>
  <c r="G16" i="2"/>
  <c r="N15" i="2"/>
  <c r="M15" i="2"/>
  <c r="G15" i="2"/>
  <c r="N14" i="2"/>
  <c r="M14" i="2"/>
  <c r="G14" i="2"/>
  <c r="N13" i="2"/>
  <c r="M13" i="2"/>
  <c r="K13" i="2"/>
  <c r="I13" i="2"/>
  <c r="G13" i="2"/>
  <c r="N12" i="2"/>
  <c r="M12" i="2"/>
  <c r="G12" i="2"/>
  <c r="N11" i="2"/>
  <c r="M11" i="2"/>
  <c r="G11" i="2"/>
  <c r="N10" i="2"/>
  <c r="M10" i="2"/>
  <c r="G10" i="2"/>
  <c r="N9" i="2"/>
  <c r="M9" i="2"/>
  <c r="G9" i="2"/>
  <c r="N8" i="2"/>
  <c r="M8" i="2"/>
  <c r="G8" i="2"/>
  <c r="N7" i="2"/>
  <c r="M7" i="2"/>
  <c r="K7" i="2"/>
  <c r="G7" i="2"/>
  <c r="N6" i="2"/>
  <c r="M6" i="2"/>
  <c r="K6" i="2"/>
  <c r="G6" i="2"/>
  <c r="N66" i="1"/>
  <c r="M66" i="1"/>
  <c r="K66" i="1"/>
  <c r="G66" i="1"/>
  <c r="E66" i="1"/>
  <c r="N65" i="1"/>
  <c r="N64" i="1"/>
  <c r="M64" i="1"/>
  <c r="K64" i="1"/>
  <c r="G64" i="1"/>
  <c r="N63" i="1"/>
  <c r="M63" i="1"/>
  <c r="K63" i="1"/>
  <c r="I63" i="1"/>
  <c r="G63" i="1"/>
  <c r="N62" i="1"/>
  <c r="M62" i="1"/>
  <c r="K62" i="1"/>
  <c r="I62" i="1"/>
  <c r="G62" i="1"/>
  <c r="N60" i="1"/>
  <c r="N59" i="1"/>
  <c r="M59" i="1"/>
  <c r="K59" i="1"/>
  <c r="I59" i="1"/>
  <c r="G59" i="1"/>
  <c r="N58" i="1"/>
  <c r="M58" i="1"/>
  <c r="K58" i="1"/>
  <c r="G58" i="1"/>
  <c r="E58" i="1"/>
  <c r="N57" i="1"/>
  <c r="M57" i="1"/>
  <c r="K57" i="1"/>
  <c r="I57" i="1"/>
  <c r="G57" i="1"/>
  <c r="N55" i="1"/>
  <c r="N54" i="1"/>
  <c r="M54" i="1"/>
  <c r="K54" i="1"/>
  <c r="I54" i="1"/>
  <c r="G54" i="1"/>
  <c r="N53" i="1"/>
  <c r="M53" i="1"/>
  <c r="K53" i="1"/>
  <c r="I53" i="1"/>
  <c r="G53" i="1"/>
  <c r="N52" i="1"/>
  <c r="M52" i="1"/>
  <c r="K52" i="1"/>
  <c r="G52" i="1"/>
  <c r="N51" i="1"/>
  <c r="M51" i="1"/>
  <c r="K51" i="1"/>
  <c r="G51" i="1"/>
  <c r="N50" i="1"/>
  <c r="M50" i="1"/>
  <c r="K50" i="1"/>
  <c r="G50" i="1"/>
  <c r="N48" i="1"/>
  <c r="N47" i="1"/>
  <c r="M47" i="1"/>
  <c r="G47" i="1"/>
  <c r="N46" i="1"/>
  <c r="M46" i="1"/>
  <c r="G46" i="1"/>
  <c r="N45" i="1"/>
  <c r="M45" i="1"/>
  <c r="K45" i="1"/>
  <c r="I45" i="1"/>
  <c r="G45" i="1"/>
  <c r="N44" i="1"/>
  <c r="M44" i="1"/>
  <c r="G44" i="1"/>
  <c r="N42" i="1"/>
  <c r="N41" i="1"/>
  <c r="M41" i="1"/>
  <c r="G41" i="1"/>
  <c r="N40" i="1"/>
  <c r="M40" i="1"/>
  <c r="G40" i="1"/>
  <c r="N39" i="1"/>
  <c r="M39" i="1"/>
  <c r="G39" i="1"/>
  <c r="N38" i="1"/>
  <c r="M38" i="1"/>
  <c r="I38" i="1"/>
  <c r="G38" i="1"/>
  <c r="N37" i="1"/>
  <c r="M37" i="1"/>
  <c r="I37" i="1"/>
  <c r="G37" i="1"/>
  <c r="N36" i="1"/>
  <c r="M36" i="1"/>
  <c r="I36" i="1"/>
  <c r="G36" i="1"/>
  <c r="N35" i="1"/>
  <c r="M35" i="1"/>
  <c r="I35" i="1"/>
  <c r="G35" i="1"/>
  <c r="N34" i="1"/>
  <c r="M34" i="1"/>
  <c r="I34" i="1"/>
  <c r="G34" i="1"/>
  <c r="N33" i="1"/>
  <c r="M33" i="1"/>
  <c r="I33" i="1"/>
  <c r="G33" i="1"/>
  <c r="N32" i="1"/>
  <c r="M32" i="1"/>
  <c r="K32" i="1"/>
  <c r="G32" i="1"/>
  <c r="N30" i="1"/>
  <c r="N29" i="1"/>
  <c r="M29" i="1"/>
  <c r="G29" i="1"/>
  <c r="E29" i="1"/>
  <c r="N28" i="1"/>
  <c r="M28" i="1"/>
  <c r="K28" i="1"/>
  <c r="I28" i="1"/>
  <c r="G28" i="1"/>
  <c r="N27" i="1"/>
  <c r="M27" i="1"/>
  <c r="G27" i="1"/>
  <c r="N25" i="1"/>
  <c r="N24" i="1"/>
  <c r="M24" i="1"/>
  <c r="K24" i="1"/>
  <c r="I24" i="1"/>
  <c r="G24" i="1"/>
  <c r="N23" i="1"/>
  <c r="M23" i="1"/>
  <c r="K23" i="1"/>
  <c r="I23" i="1"/>
  <c r="G23" i="1"/>
  <c r="N22" i="1"/>
  <c r="M22" i="1"/>
  <c r="K22" i="1"/>
  <c r="G22" i="1"/>
  <c r="N19" i="1"/>
  <c r="N18" i="1"/>
  <c r="M18" i="1"/>
  <c r="G18" i="1"/>
  <c r="N17" i="1"/>
  <c r="M17" i="1"/>
  <c r="G17" i="1"/>
  <c r="N16" i="1"/>
  <c r="M16" i="1"/>
  <c r="G16" i="1"/>
  <c r="N15" i="1"/>
  <c r="M15" i="1"/>
  <c r="G15" i="1"/>
  <c r="N14" i="1"/>
  <c r="M14" i="1"/>
  <c r="G14" i="1"/>
  <c r="N13" i="1"/>
  <c r="M13" i="1"/>
  <c r="K13" i="1"/>
  <c r="I13" i="1"/>
  <c r="G13" i="1"/>
  <c r="N12" i="1"/>
  <c r="M12" i="1"/>
  <c r="G12" i="1"/>
  <c r="N11" i="1"/>
  <c r="M11" i="1"/>
  <c r="G11" i="1"/>
  <c r="N10" i="1"/>
  <c r="M10" i="1"/>
  <c r="G10" i="1"/>
  <c r="N9" i="1"/>
  <c r="M9" i="1"/>
  <c r="G9" i="1"/>
  <c r="N8" i="1"/>
  <c r="M8" i="1"/>
  <c r="G8" i="1"/>
  <c r="N7" i="1"/>
  <c r="M7" i="1"/>
  <c r="K7" i="1"/>
  <c r="G7" i="1"/>
  <c r="N6" i="1"/>
  <c r="M6" i="1"/>
  <c r="K6" i="1"/>
  <c r="G6" i="1"/>
  <c r="N50" i="3"/>
  <c r="M50" i="3"/>
  <c r="K50" i="3"/>
  <c r="I50" i="3"/>
  <c r="G50" i="3"/>
  <c r="E50" i="3"/>
  <c r="A50" i="3"/>
  <c r="N49" i="3"/>
  <c r="M49" i="3"/>
  <c r="K49" i="3"/>
  <c r="I49" i="3"/>
  <c r="G49" i="3"/>
  <c r="E49" i="3"/>
  <c r="C49" i="3"/>
  <c r="N48" i="3"/>
  <c r="G48" i="3"/>
  <c r="N47" i="3"/>
  <c r="I47" i="3"/>
  <c r="N46" i="3"/>
  <c r="I46" i="3"/>
  <c r="E46" i="3"/>
  <c r="N45" i="3"/>
  <c r="G45" i="3"/>
  <c r="N42" i="3"/>
  <c r="K42" i="3"/>
  <c r="I42" i="3"/>
  <c r="G42" i="3"/>
  <c r="E42" i="3"/>
  <c r="C42" i="3"/>
  <c r="N41" i="3"/>
  <c r="N40" i="3"/>
  <c r="I40" i="3"/>
  <c r="E40" i="3"/>
  <c r="N39" i="3"/>
  <c r="E39" i="3"/>
  <c r="N38" i="3"/>
  <c r="K38" i="3"/>
  <c r="G38" i="3"/>
  <c r="N36" i="3"/>
  <c r="M36" i="3"/>
  <c r="K36" i="3"/>
  <c r="I36" i="3"/>
  <c r="G36" i="3"/>
  <c r="E36" i="3"/>
  <c r="C36" i="3"/>
  <c r="N35" i="3"/>
  <c r="G35" i="3"/>
  <c r="N34" i="3"/>
  <c r="I34" i="3"/>
  <c r="G34" i="3"/>
  <c r="N33" i="3"/>
  <c r="I33" i="3"/>
  <c r="G33" i="3"/>
  <c r="N32" i="3"/>
  <c r="K32" i="3"/>
  <c r="I32" i="3"/>
  <c r="G32" i="3"/>
  <c r="E32" i="3"/>
  <c r="N31" i="3"/>
  <c r="I31" i="3"/>
  <c r="E31" i="3"/>
  <c r="N30" i="3"/>
  <c r="I30" i="3"/>
  <c r="N29" i="3"/>
  <c r="K29" i="3"/>
  <c r="G29" i="3"/>
  <c r="N26" i="3"/>
  <c r="K26" i="3"/>
  <c r="I26" i="3"/>
  <c r="G26" i="3"/>
  <c r="E26" i="3"/>
  <c r="C26" i="3"/>
  <c r="N25" i="3"/>
  <c r="E25" i="3"/>
  <c r="N24" i="3"/>
  <c r="I24" i="3"/>
  <c r="N23" i="3"/>
  <c r="I23" i="3"/>
  <c r="N22" i="3"/>
  <c r="K22" i="3"/>
  <c r="G22" i="3"/>
  <c r="N19" i="3"/>
  <c r="K19" i="3"/>
  <c r="I19" i="3"/>
  <c r="G19" i="3"/>
  <c r="E19" i="3"/>
  <c r="C19" i="3"/>
  <c r="N18" i="3"/>
  <c r="G18" i="3"/>
  <c r="N17" i="3"/>
  <c r="G17" i="3"/>
  <c r="N16" i="3"/>
  <c r="I16" i="3"/>
  <c r="N15" i="3"/>
  <c r="G15" i="3"/>
  <c r="N14" i="3"/>
  <c r="G14" i="3"/>
  <c r="N13" i="3"/>
  <c r="I13" i="3"/>
  <c r="E12" i="3"/>
  <c r="E11" i="3"/>
  <c r="N10" i="3"/>
  <c r="N9" i="3"/>
  <c r="G9" i="3"/>
  <c r="N8" i="3"/>
  <c r="G8" i="3"/>
  <c r="N7" i="3"/>
  <c r="G7" i="3"/>
  <c r="N6" i="3"/>
  <c r="G6" i="3"/>
</calcChain>
</file>

<file path=xl/sharedStrings.xml><?xml version="1.0" encoding="utf-8"?>
<sst xmlns="http://schemas.openxmlformats.org/spreadsheetml/2006/main" count="400" uniqueCount="130">
  <si>
    <t>Розрахунок на 2021 рік</t>
  </si>
  <si>
    <t>Апарат центру</t>
  </si>
  <si>
    <t>№ п/п</t>
  </si>
  <si>
    <t>Посада</t>
  </si>
  <si>
    <t>К-сть штат-них од.</t>
  </si>
  <si>
    <t>Тарифний розряд</t>
  </si>
  <si>
    <t>Посадовий оклад</t>
  </si>
  <si>
    <t>надбавка за складність та напруженість у роботі</t>
  </si>
  <si>
    <t>доплата</t>
  </si>
  <si>
    <t>вислуга років</t>
  </si>
  <si>
    <t>премія</t>
  </si>
  <si>
    <t>Всього</t>
  </si>
  <si>
    <t>грн.</t>
  </si>
  <si>
    <t>%</t>
  </si>
  <si>
    <t>1</t>
  </si>
  <si>
    <t>директор</t>
  </si>
  <si>
    <t>2</t>
  </si>
  <si>
    <t>заступник директора</t>
  </si>
  <si>
    <t>5%</t>
  </si>
  <si>
    <t>3</t>
  </si>
  <si>
    <t>головний бухгалтер</t>
  </si>
  <si>
    <t>10%</t>
  </si>
  <si>
    <t>4</t>
  </si>
  <si>
    <t>бухгалтер</t>
  </si>
  <si>
    <t>15%</t>
  </si>
  <si>
    <t>5</t>
  </si>
  <si>
    <t>інженер з охорони праці</t>
  </si>
  <si>
    <t>6</t>
  </si>
  <si>
    <t>інспектор з кадрів</t>
  </si>
  <si>
    <t>7</t>
  </si>
  <si>
    <t>юристконсульт</t>
  </si>
  <si>
    <t>8</t>
  </si>
  <si>
    <t>фахівець із соціальної роботи</t>
  </si>
  <si>
    <t>15(шкідливі)</t>
  </si>
  <si>
    <t>9</t>
  </si>
  <si>
    <t>психолог</t>
  </si>
  <si>
    <t>10</t>
  </si>
  <si>
    <t>охоронець</t>
  </si>
  <si>
    <t>нічні</t>
  </si>
  <si>
    <t>11</t>
  </si>
  <si>
    <t>водій</t>
  </si>
  <si>
    <t>12</t>
  </si>
  <si>
    <t>прибиральник</t>
  </si>
  <si>
    <t>13</t>
  </si>
  <si>
    <t>завідувач господарства</t>
  </si>
  <si>
    <t>всього:</t>
  </si>
  <si>
    <t>відділення соціальних послуг за місцем проживання</t>
  </si>
  <si>
    <t>14</t>
  </si>
  <si>
    <t>завідувач відділення</t>
  </si>
  <si>
    <t>15</t>
  </si>
  <si>
    <t>соціальний працівник (фахівець із соціальної роботи ІІ категорії)</t>
  </si>
  <si>
    <t>16</t>
  </si>
  <si>
    <t>Соціальні робітники</t>
  </si>
  <si>
    <t>відділення надання соціальних послуг в умовах денного перебування</t>
  </si>
  <si>
    <t>17</t>
  </si>
  <si>
    <t>18</t>
  </si>
  <si>
    <t>фахівець із соціальної роботи ІІ категорії</t>
  </si>
  <si>
    <t>19</t>
  </si>
  <si>
    <t>організатор культурно-дозвіллєвої діяльності</t>
  </si>
  <si>
    <t>відділеня надання соціальних послуг в умовах цілодобового перебування/проживання</t>
  </si>
  <si>
    <t>20</t>
  </si>
  <si>
    <t>21</t>
  </si>
  <si>
    <t>сестра-господиня</t>
  </si>
  <si>
    <t>22</t>
  </si>
  <si>
    <t>лікар</t>
  </si>
  <si>
    <t>23</t>
  </si>
  <si>
    <t>сестра-медична</t>
  </si>
  <si>
    <t>24</t>
  </si>
  <si>
    <t>молодша медична сестра</t>
  </si>
  <si>
    <t>25</t>
  </si>
  <si>
    <t>санітарка-ванниця</t>
  </si>
  <si>
    <t>26</t>
  </si>
  <si>
    <t>санітарка-прибиральниця</t>
  </si>
  <si>
    <t>27</t>
  </si>
  <si>
    <t>машиніст із прання та ремонту одягу</t>
  </si>
  <si>
    <t>28</t>
  </si>
  <si>
    <t>кухар</t>
  </si>
  <si>
    <t>29</t>
  </si>
  <si>
    <t>помічник кахаря</t>
  </si>
  <si>
    <t>відділення натуральної та грошової допомоги</t>
  </si>
  <si>
    <t>30</t>
  </si>
  <si>
    <t>31</t>
  </si>
  <si>
    <t xml:space="preserve">соціальний працівник </t>
  </si>
  <si>
    <t>32</t>
  </si>
  <si>
    <t>робітник з комплексного обслуговування та ремонту</t>
  </si>
  <si>
    <t>33</t>
  </si>
  <si>
    <t>перукар</t>
  </si>
  <si>
    <t>відділення із соціальної роботи</t>
  </si>
  <si>
    <t>34</t>
  </si>
  <si>
    <t>35</t>
  </si>
  <si>
    <t>соціальний менеджер</t>
  </si>
  <si>
    <t>36</t>
  </si>
  <si>
    <t>Практичний психолог/психолог</t>
  </si>
  <si>
    <t>37</t>
  </si>
  <si>
    <t>Провідний фахівець із соціальної роботи</t>
  </si>
  <si>
    <t>38</t>
  </si>
  <si>
    <t>спеціалізована служба підтримки осіб, які постраждали від домашнього насильства та насильства за ознакою статі</t>
  </si>
  <si>
    <t>39</t>
  </si>
  <si>
    <t>40</t>
  </si>
  <si>
    <t>41</t>
  </si>
  <si>
    <t>соціальний працівник</t>
  </si>
  <si>
    <t xml:space="preserve">мобільна бригада соціально-психологічної допомоги особам, які постраждали від домашнього насильства </t>
  </si>
  <si>
    <t>42</t>
  </si>
  <si>
    <t>керівник мобільної бригади</t>
  </si>
  <si>
    <t>43</t>
  </si>
  <si>
    <t>44</t>
  </si>
  <si>
    <t xml:space="preserve">січень-грудень </t>
  </si>
  <si>
    <t>15(шкідливі), 25 гірські</t>
  </si>
  <si>
    <t>Центр надання соціальних послуг Хустської міської ради</t>
  </si>
  <si>
    <t>Розрахунок  на  2026 р.</t>
  </si>
  <si>
    <t>10%від заступника</t>
  </si>
  <si>
    <t>15% від гол.бухг.</t>
  </si>
  <si>
    <t>дез.зас.</t>
  </si>
  <si>
    <t>Комірник</t>
  </si>
  <si>
    <t>відділення соціальних послуг за місцем проживання та натуральної допомоги</t>
  </si>
  <si>
    <t xml:space="preserve">фахівець із соціальної роботи </t>
  </si>
  <si>
    <t>15(шкідливі)+25гірські</t>
  </si>
  <si>
    <t>10(шк)</t>
  </si>
  <si>
    <t>висл.</t>
  </si>
  <si>
    <t>нічн</t>
  </si>
  <si>
    <t>20шк</t>
  </si>
  <si>
    <t>12(шкідливі)</t>
  </si>
  <si>
    <t>провідний фахівець із соціальної роботи</t>
  </si>
  <si>
    <t>фахівець із супроводу ветеранів війни та демомібілізованих осіб</t>
  </si>
  <si>
    <t>Денний центр соціально-психологічної допомоги особам,які постраждали від домашнього насильства або насильства за ознакою статті з кризовою кімнатою</t>
  </si>
  <si>
    <t>Директор</t>
  </si>
  <si>
    <t>Валентин Босий-Мірявець</t>
  </si>
  <si>
    <t>Головний бухгалтер</t>
  </si>
  <si>
    <t>Ніна Човганин</t>
  </si>
  <si>
    <t>помічник кухаря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</si>
</sst>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\.##0.00\ &quot;₽&quot;_-;\-* #\.##0.00\ &quot;₽&quot;_-;_-* \-??\ &quot;₽&quot;_-;_-@_-"/>
    <numFmt numFmtId="168" formatCode="#\ ##0.00"/>
    <numFmt numFmtId="169" formatCode="#\ ##0"/>
  </numFmts>
  <fonts count="17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charset val="204"/>
    </font>
    <font>
      <b/>
      <i/>
      <u/>
      <sz val="10"/>
      <name val="Times New Roman"/>
      <charset val="204"/>
    </font>
    <font>
      <sz val="10"/>
      <name val="Times New Roman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12"/>
      <color theme="1"/>
      <name val="Arial Cyr"/>
      <charset val="204"/>
    </font>
    <font>
      <b/>
      <sz val="12"/>
      <name val="Arial Cyr"/>
      <charset val="204"/>
    </font>
    <font>
      <b/>
      <i/>
      <u/>
      <sz val="14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2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5" fontId="16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9" fontId="2" fillId="0" borderId="3" xfId="0" applyNumberFormat="1" applyFont="1" applyBorder="1" applyAlignment="1" applyProtection="1">
      <alignment horizontal="center" vertical="center"/>
      <protection locked="0"/>
    </xf>
    <xf numFmtId="168" fontId="2" fillId="0" borderId="3" xfId="0" applyNumberFormat="1" applyFont="1" applyBorder="1" applyAlignment="1" applyProtection="1">
      <alignment horizontal="center" vertical="center"/>
      <protection locked="0"/>
    </xf>
    <xf numFmtId="168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0" fillId="0" borderId="0" xfId="0" applyNumberFormat="1"/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16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9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9" fontId="2" fillId="0" borderId="7" xfId="0" applyNumberFormat="1" applyFont="1" applyBorder="1" applyAlignment="1" applyProtection="1">
      <alignment horizontal="center" vertical="center"/>
      <protection locked="0"/>
    </xf>
    <xf numFmtId="168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wrapText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wrapText="1"/>
    </xf>
    <xf numFmtId="0" fontId="2" fillId="0" borderId="3" xfId="1" applyNumberFormat="1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168" fontId="2" fillId="0" borderId="3" xfId="0" applyNumberFormat="1" applyFont="1" applyBorder="1" applyAlignment="1">
      <alignment horizontal="center" vertical="top" wrapText="1"/>
    </xf>
    <xf numFmtId="168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9" fontId="2" fillId="0" borderId="2" xfId="0" applyNumberFormat="1" applyFont="1" applyBorder="1" applyAlignment="1" applyProtection="1">
      <alignment horizontal="center" vertical="center"/>
      <protection locked="0"/>
    </xf>
    <xf numFmtId="168" fontId="2" fillId="0" borderId="2" xfId="0" applyNumberFormat="1" applyFont="1" applyBorder="1" applyAlignment="1" applyProtection="1">
      <alignment horizontal="center" vertical="center"/>
      <protection locked="0"/>
    </xf>
    <xf numFmtId="169" fontId="2" fillId="0" borderId="9" xfId="0" applyNumberFormat="1" applyFont="1" applyBorder="1" applyAlignment="1" applyProtection="1">
      <alignment horizontal="center" vertical="center"/>
      <protection locked="0"/>
    </xf>
    <xf numFmtId="168" fontId="2" fillId="4" borderId="5" xfId="0" applyNumberFormat="1" applyFont="1" applyFill="1" applyBorder="1" applyAlignment="1" applyProtection="1">
      <alignment horizontal="center" vertical="center"/>
      <protection locked="0"/>
    </xf>
    <xf numFmtId="168" fontId="2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8" fontId="2" fillId="5" borderId="3" xfId="0" applyNumberFormat="1" applyFont="1" applyFill="1" applyBorder="1" applyAlignment="1">
      <alignment horizontal="center" vertical="center"/>
    </xf>
    <xf numFmtId="169" fontId="2" fillId="5" borderId="3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169" fontId="7" fillId="4" borderId="0" xfId="0" applyNumberFormat="1" applyFont="1" applyFill="1" applyAlignment="1">
      <alignment horizontal="center"/>
    </xf>
    <xf numFmtId="169" fontId="9" fillId="4" borderId="0" xfId="0" applyNumberFormat="1" applyFont="1" applyFill="1" applyAlignment="1">
      <alignment horizont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8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9" fontId="5" fillId="0" borderId="3" xfId="0" applyNumberFormat="1" applyFont="1" applyBorder="1" applyAlignment="1" applyProtection="1">
      <alignment horizontal="center" vertical="center"/>
      <protection locked="0"/>
    </xf>
    <xf numFmtId="168" fontId="5" fillId="0" borderId="3" xfId="0" applyNumberFormat="1" applyFont="1" applyBorder="1" applyAlignment="1" applyProtection="1">
      <alignment horizontal="center" vertical="center"/>
      <protection locked="0"/>
    </xf>
    <xf numFmtId="168" fontId="5" fillId="0" borderId="3" xfId="0" applyNumberFormat="1" applyFont="1" applyBorder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/>
    </xf>
    <xf numFmtId="16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8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9" fontId="5" fillId="0" borderId="9" xfId="0" applyNumberFormat="1" applyFont="1" applyBorder="1" applyAlignment="1" applyProtection="1">
      <alignment horizontal="center" vertical="center"/>
      <protection locked="0"/>
    </xf>
    <xf numFmtId="168" fontId="5" fillId="0" borderId="9" xfId="0" applyNumberFormat="1" applyFont="1" applyBorder="1" applyAlignment="1" applyProtection="1">
      <alignment horizontal="center" vertical="center"/>
      <protection locked="0"/>
    </xf>
    <xf numFmtId="168" fontId="5" fillId="4" borderId="5" xfId="0" applyNumberFormat="1" applyFont="1" applyFill="1" applyBorder="1" applyAlignment="1" applyProtection="1">
      <alignment horizontal="center" vertical="center"/>
      <protection locked="0"/>
    </xf>
    <xf numFmtId="168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168" fontId="5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68" fontId="14" fillId="5" borderId="3" xfId="0" applyNumberFormat="1" applyFont="1" applyFill="1" applyBorder="1" applyAlignment="1">
      <alignment horizontal="center" vertical="center"/>
    </xf>
    <xf numFmtId="169" fontId="14" fillId="5" borderId="3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15" fillId="4" borderId="0" xfId="0" applyFont="1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0" borderId="10" xfId="0" applyFont="1" applyBorder="1"/>
    <xf numFmtId="0" fontId="5" fillId="0" borderId="10" xfId="0" applyFont="1" applyBorder="1"/>
    <xf numFmtId="0" fontId="0" fillId="0" borderId="0" xfId="0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>
      <alignment horizontal="right" vertical="center" wrapText="1"/>
    </xf>
    <xf numFmtId="0" fontId="14" fillId="5" borderId="9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horizontal="right" vertical="center" wrapText="1"/>
    </xf>
    <xf numFmtId="2" fontId="14" fillId="5" borderId="4" xfId="0" applyNumberFormat="1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&#1056;&#1072;&#1073;&#1086;&#1095;&#1080;&#1081;%20&#1089;&#1090;&#1086;&#1083;\&#1044;&#1086;&#1076;&#1072;&#1090;&#1086;&#1082;%20&#1076;&#1086;%20&#1096;&#1090;&#1072;&#1090;.%20&#1088;&#1086;&#1079;&#1087;&#1080;&#1089;&#1091;%20&#1089;&#1090;&#1072;&#1085;&#1086;&#1084;%20&#1085;&#1072;%2001%20&#1078;&#1086;&#1074;&#1090;&#1085;&#1103;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1042;&#1083;&#1072;&#1076;&#1077;&#1083;&#1077;&#1094;\&#1056;&#1072;&#1073;&#1086;&#1095;&#1080;&#1081;%20&#1089;&#1090;&#1086;&#1083;\&#1052;&#1072;&#1088;&#1080;&#1085;&#1072;\&#1092;&#1083;&#1077;&#1096;&#1082;&#1072;\&#1092;&#1083;&#1077;&#1096;\!&#1044;&#1086;&#1076;&#1072;&#1090;&#1086;&#1082;%20&#1076;&#1086;%20&#1096;&#1090;&#1072;&#1090;.%20&#1088;&#1086;&#1079;&#1087;&#1080;&#1089;&#1091;%20&#1085;&#1072;%2017.02.09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1 (2)"/>
      <sheetName val="Лист1 (3)"/>
      <sheetName val="Отчет о совместимости"/>
      <sheetName val="Отчет о совместимости (1)"/>
      <sheetName val="Отчет о совместимости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1 (2)"/>
      <sheetName val="Лист1 (3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opLeftCell="A8" workbookViewId="0">
      <selection activeCell="A15" sqref="A15:XFD15"/>
    </sheetView>
  </sheetViews>
  <sheetFormatPr defaultColWidth="9" defaultRowHeight="13.2"/>
  <cols>
    <col min="1" max="1" width="2.88671875" customWidth="1"/>
    <col min="2" max="2" width="15.88671875" customWidth="1"/>
    <col min="3" max="3" width="5.5546875" customWidth="1"/>
    <col min="4" max="4" width="10.33203125" customWidth="1"/>
    <col min="5" max="5" width="10.5546875" customWidth="1"/>
    <col min="7" max="7" width="10.88671875" customWidth="1"/>
    <col min="8" max="8" width="11.5546875" customWidth="1"/>
    <col min="9" max="9" width="8.88671875" customWidth="1"/>
    <col min="10" max="10" width="7" customWidth="1"/>
    <col min="11" max="11" width="9.109375" customWidth="1"/>
    <col min="12" max="12" width="5.33203125" customWidth="1"/>
    <col min="13" max="13" width="12" customWidth="1"/>
    <col min="14" max="14" width="15" customWidth="1"/>
    <col min="15" max="15" width="9.5546875" customWidth="1"/>
  </cols>
  <sheetData>
    <row r="1" spans="1:14" ht="15.6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7.399999999999999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7.399999999999999">
      <c r="A3" s="51"/>
      <c r="B3" s="52"/>
      <c r="C3" s="52"/>
      <c r="D3" s="52"/>
      <c r="E3" s="52"/>
      <c r="F3" s="52"/>
      <c r="G3" s="52" t="s">
        <v>1</v>
      </c>
      <c r="H3" s="52"/>
      <c r="I3" s="52"/>
      <c r="J3" s="52"/>
      <c r="K3" s="52"/>
      <c r="L3" s="52"/>
      <c r="M3" s="52"/>
      <c r="N3" s="52"/>
    </row>
    <row r="4" spans="1:14" ht="41.25" customHeight="1">
      <c r="A4" s="53" t="s">
        <v>2</v>
      </c>
      <c r="B4" s="54" t="s">
        <v>3</v>
      </c>
      <c r="C4" s="55" t="s">
        <v>4</v>
      </c>
      <c r="D4" s="56" t="s">
        <v>5</v>
      </c>
      <c r="E4" s="56" t="s">
        <v>6</v>
      </c>
      <c r="F4" s="108" t="s">
        <v>7</v>
      </c>
      <c r="G4" s="109"/>
      <c r="H4" s="108" t="s">
        <v>8</v>
      </c>
      <c r="I4" s="109"/>
      <c r="J4" s="108" t="s">
        <v>9</v>
      </c>
      <c r="K4" s="109"/>
      <c r="L4" s="108" t="s">
        <v>10</v>
      </c>
      <c r="M4" s="109"/>
      <c r="N4" s="58" t="s">
        <v>11</v>
      </c>
    </row>
    <row r="5" spans="1:14">
      <c r="A5" s="53"/>
      <c r="B5" s="54"/>
      <c r="C5" s="55"/>
      <c r="D5" s="56"/>
      <c r="E5" s="55" t="s">
        <v>12</v>
      </c>
      <c r="F5" s="57" t="s">
        <v>13</v>
      </c>
      <c r="G5" s="54" t="s">
        <v>12</v>
      </c>
      <c r="H5" s="57" t="s">
        <v>13</v>
      </c>
      <c r="I5" s="54" t="s">
        <v>12</v>
      </c>
      <c r="J5" s="54" t="s">
        <v>13</v>
      </c>
      <c r="K5" s="54" t="s">
        <v>12</v>
      </c>
      <c r="L5" s="54" t="s">
        <v>13</v>
      </c>
      <c r="M5" s="54" t="s">
        <v>12</v>
      </c>
      <c r="N5" s="58" t="s">
        <v>12</v>
      </c>
    </row>
    <row r="6" spans="1:14" ht="18.75" customHeight="1">
      <c r="A6" s="59" t="s">
        <v>14</v>
      </c>
      <c r="B6" s="60" t="s">
        <v>15</v>
      </c>
      <c r="C6" s="61">
        <v>1</v>
      </c>
      <c r="D6" s="62">
        <v>18</v>
      </c>
      <c r="E6" s="63">
        <v>8571</v>
      </c>
      <c r="F6" s="62">
        <v>50</v>
      </c>
      <c r="G6" s="64">
        <f>E6*F6%</f>
        <v>4285.5</v>
      </c>
      <c r="H6" s="64"/>
      <c r="I6" s="64"/>
      <c r="J6" s="65">
        <v>20</v>
      </c>
      <c r="K6" s="65">
        <f>E6*J6%</f>
        <v>1714.2</v>
      </c>
      <c r="L6" s="65">
        <v>100</v>
      </c>
      <c r="M6" s="64">
        <f>E6*100%</f>
        <v>8571</v>
      </c>
      <c r="N6" s="63">
        <f>E6+G6+M6+K6</f>
        <v>23141.7</v>
      </c>
    </row>
    <row r="7" spans="1:14" ht="29.25" customHeight="1">
      <c r="A7" s="59" t="s">
        <v>16</v>
      </c>
      <c r="B7" s="60" t="s">
        <v>17</v>
      </c>
      <c r="C7" s="61">
        <v>1</v>
      </c>
      <c r="D7" s="59" t="s">
        <v>18</v>
      </c>
      <c r="E7" s="63">
        <v>8142</v>
      </c>
      <c r="F7" s="62">
        <v>50</v>
      </c>
      <c r="G7" s="64">
        <f>E7*F7%</f>
        <v>4071</v>
      </c>
      <c r="H7" s="64"/>
      <c r="I7" s="64"/>
      <c r="J7" s="65">
        <v>20</v>
      </c>
      <c r="K7" s="65">
        <f>E7*J7%</f>
        <v>1628.4</v>
      </c>
      <c r="L7" s="65">
        <v>100</v>
      </c>
      <c r="M7" s="64">
        <f>E7*100%</f>
        <v>8142</v>
      </c>
      <c r="N7" s="63">
        <f>E7+G7+K7+M7</f>
        <v>21983.4</v>
      </c>
    </row>
    <row r="8" spans="1:14" ht="29.25" customHeight="1">
      <c r="A8" s="59" t="s">
        <v>19</v>
      </c>
      <c r="B8" s="60" t="s">
        <v>20</v>
      </c>
      <c r="C8" s="61">
        <v>1</v>
      </c>
      <c r="D8" s="59" t="s">
        <v>21</v>
      </c>
      <c r="E8" s="63">
        <v>7714</v>
      </c>
      <c r="F8" s="62">
        <v>50</v>
      </c>
      <c r="G8" s="64">
        <f>E8*F8%</f>
        <v>3857</v>
      </c>
      <c r="H8" s="64"/>
      <c r="I8" s="64"/>
      <c r="J8" s="65"/>
      <c r="K8" s="65"/>
      <c r="L8" s="65">
        <v>100</v>
      </c>
      <c r="M8" s="64">
        <f>E8*100%</f>
        <v>7714</v>
      </c>
      <c r="N8" s="63">
        <f>E8+G8+K8+M8</f>
        <v>19285</v>
      </c>
    </row>
    <row r="9" spans="1:14" ht="13.5" customHeight="1">
      <c r="A9" s="59" t="s">
        <v>22</v>
      </c>
      <c r="B9" s="60" t="s">
        <v>23</v>
      </c>
      <c r="C9" s="61">
        <v>1</v>
      </c>
      <c r="D9" s="59" t="s">
        <v>24</v>
      </c>
      <c r="E9" s="63">
        <v>6557</v>
      </c>
      <c r="F9" s="62">
        <v>50</v>
      </c>
      <c r="G9" s="63">
        <f>E9*50%</f>
        <v>3278.5</v>
      </c>
      <c r="H9" s="63"/>
      <c r="I9" s="63"/>
      <c r="J9" s="62">
        <v>0</v>
      </c>
      <c r="K9" s="62">
        <v>0</v>
      </c>
      <c r="L9" s="62">
        <v>100</v>
      </c>
      <c r="M9" s="63">
        <f>E9*L9%</f>
        <v>6557</v>
      </c>
      <c r="N9" s="63">
        <f>E9+G9+K9+M9</f>
        <v>16392.5</v>
      </c>
    </row>
    <row r="10" spans="1:14" ht="30.75" customHeight="1">
      <c r="A10" s="59" t="s">
        <v>25</v>
      </c>
      <c r="B10" s="60" t="s">
        <v>26</v>
      </c>
      <c r="C10" s="61">
        <v>1</v>
      </c>
      <c r="D10" s="62">
        <v>7</v>
      </c>
      <c r="E10" s="63">
        <v>4112</v>
      </c>
      <c r="F10" s="66">
        <v>30</v>
      </c>
      <c r="G10" s="63">
        <f>E10*30%</f>
        <v>1233.5999999999999</v>
      </c>
      <c r="H10" s="63"/>
      <c r="I10" s="63"/>
      <c r="J10" s="62"/>
      <c r="K10" s="62"/>
      <c r="L10" s="62">
        <v>50</v>
      </c>
      <c r="M10" s="63">
        <f>E10*L10%</f>
        <v>2056</v>
      </c>
      <c r="N10" s="63">
        <f>E10+G10+K10+M10</f>
        <v>7401.6</v>
      </c>
    </row>
    <row r="11" spans="1:14" ht="30.75" customHeight="1">
      <c r="A11" s="59" t="s">
        <v>27</v>
      </c>
      <c r="B11" s="60" t="s">
        <v>28</v>
      </c>
      <c r="C11" s="61">
        <v>1</v>
      </c>
      <c r="D11" s="62">
        <v>6</v>
      </c>
      <c r="E11" s="63">
        <v>3872</v>
      </c>
      <c r="F11" s="66">
        <v>30</v>
      </c>
      <c r="G11" s="63">
        <f>E11*30%</f>
        <v>1161.5999999999999</v>
      </c>
      <c r="H11" s="63"/>
      <c r="I11" s="63">
        <v>0</v>
      </c>
      <c r="J11" s="62"/>
      <c r="K11" s="62"/>
      <c r="L11" s="62">
        <v>50</v>
      </c>
      <c r="M11" s="63">
        <f>E11*L11%</f>
        <v>1936</v>
      </c>
      <c r="N11" s="63">
        <f>E11+G11+K11+M11+I11</f>
        <v>6969.6</v>
      </c>
    </row>
    <row r="12" spans="1:14" ht="30.75" customHeight="1">
      <c r="A12" s="59" t="s">
        <v>29</v>
      </c>
      <c r="B12" s="60" t="s">
        <v>30</v>
      </c>
      <c r="C12" s="61">
        <v>1</v>
      </c>
      <c r="D12" s="62">
        <v>9</v>
      </c>
      <c r="E12" s="63">
        <v>4619</v>
      </c>
      <c r="F12" s="66">
        <v>30</v>
      </c>
      <c r="G12" s="63">
        <f>E12*30%</f>
        <v>1385.7</v>
      </c>
      <c r="H12" s="63"/>
      <c r="I12" s="63"/>
      <c r="J12" s="62"/>
      <c r="K12" s="62"/>
      <c r="L12" s="62">
        <v>50</v>
      </c>
      <c r="M12" s="63">
        <f>E12*L12%</f>
        <v>2309.5</v>
      </c>
      <c r="N12" s="63">
        <f>E12+G12+K12+M12+I12</f>
        <v>8314.2000000000007</v>
      </c>
    </row>
    <row r="13" spans="1:14" ht="42.75" customHeight="1">
      <c r="A13" s="59" t="s">
        <v>31</v>
      </c>
      <c r="B13" s="60" t="s">
        <v>32</v>
      </c>
      <c r="C13" s="61">
        <v>1</v>
      </c>
      <c r="D13" s="62">
        <v>10</v>
      </c>
      <c r="E13" s="63">
        <v>4859</v>
      </c>
      <c r="F13" s="66">
        <v>30</v>
      </c>
      <c r="G13" s="63">
        <f>E13*F13%</f>
        <v>1457.7</v>
      </c>
      <c r="H13" s="63" t="s">
        <v>33</v>
      </c>
      <c r="I13" s="63">
        <f>E13*15%</f>
        <v>728.85</v>
      </c>
      <c r="J13" s="62">
        <v>20</v>
      </c>
      <c r="K13" s="63">
        <f>E13*J13%</f>
        <v>971.8</v>
      </c>
      <c r="L13" s="62">
        <v>100</v>
      </c>
      <c r="M13" s="63">
        <f>E13</f>
        <v>4859</v>
      </c>
      <c r="N13" s="63">
        <f>E13+G13+K13+M13+I13</f>
        <v>12876.35</v>
      </c>
    </row>
    <row r="14" spans="1:14" ht="36" customHeight="1">
      <c r="A14" s="59" t="s">
        <v>34</v>
      </c>
      <c r="B14" s="60" t="s">
        <v>35</v>
      </c>
      <c r="C14" s="61">
        <v>1</v>
      </c>
      <c r="D14" s="62">
        <v>7</v>
      </c>
      <c r="E14" s="63">
        <v>4112</v>
      </c>
      <c r="F14" s="66">
        <v>30</v>
      </c>
      <c r="G14" s="63">
        <f>E14*30%</f>
        <v>1233.5999999999999</v>
      </c>
      <c r="H14" s="63"/>
      <c r="I14" s="63"/>
      <c r="J14" s="62">
        <v>0</v>
      </c>
      <c r="K14" s="62">
        <v>0</v>
      </c>
      <c r="L14" s="62">
        <v>100</v>
      </c>
      <c r="M14" s="63">
        <f>E14*L14%</f>
        <v>4112</v>
      </c>
      <c r="N14" s="63">
        <f>E14+G14+M14+K14</f>
        <v>9457.6</v>
      </c>
    </row>
    <row r="15" spans="1:14" ht="20.25" customHeight="1">
      <c r="A15" s="59" t="s">
        <v>36</v>
      </c>
      <c r="B15" s="67" t="s">
        <v>37</v>
      </c>
      <c r="C15" s="61">
        <v>4</v>
      </c>
      <c r="D15" s="62">
        <v>1</v>
      </c>
      <c r="E15" s="63">
        <v>2670</v>
      </c>
      <c r="F15" s="66">
        <v>30</v>
      </c>
      <c r="G15" s="63">
        <f>E15*30%</f>
        <v>801</v>
      </c>
      <c r="H15" s="62" t="s">
        <v>38</v>
      </c>
      <c r="I15" s="62">
        <v>432</v>
      </c>
      <c r="J15" s="62"/>
      <c r="K15" s="62"/>
      <c r="L15" s="62">
        <v>100</v>
      </c>
      <c r="M15" s="63">
        <f>E15*L15%</f>
        <v>2670</v>
      </c>
      <c r="N15" s="63">
        <f>(E15+G15+M15+K15+I15)*4</f>
        <v>26292</v>
      </c>
    </row>
    <row r="16" spans="1:14" ht="20.25" customHeight="1">
      <c r="A16" s="68" t="s">
        <v>39</v>
      </c>
      <c r="B16" s="60" t="s">
        <v>40</v>
      </c>
      <c r="C16" s="69">
        <v>1</v>
      </c>
      <c r="D16" s="62">
        <v>4</v>
      </c>
      <c r="E16" s="63">
        <v>3391</v>
      </c>
      <c r="F16" s="66">
        <v>30</v>
      </c>
      <c r="G16" s="63">
        <f>E16*30%</f>
        <v>1017.3</v>
      </c>
      <c r="H16" s="62"/>
      <c r="I16" s="62"/>
      <c r="J16" s="62"/>
      <c r="K16" s="62"/>
      <c r="L16" s="62">
        <v>50</v>
      </c>
      <c r="M16" s="63">
        <f>E16*L16%</f>
        <v>1695.5</v>
      </c>
      <c r="N16" s="63">
        <f>(E16+G16+M16+K16+I16)</f>
        <v>6103.8</v>
      </c>
    </row>
    <row r="17" spans="1:14" ht="20.25" customHeight="1">
      <c r="A17" s="68" t="s">
        <v>41</v>
      </c>
      <c r="B17" s="60" t="s">
        <v>42</v>
      </c>
      <c r="C17" s="69">
        <v>1</v>
      </c>
      <c r="D17" s="62">
        <v>2</v>
      </c>
      <c r="E17" s="63">
        <v>2910</v>
      </c>
      <c r="F17" s="66">
        <v>30</v>
      </c>
      <c r="G17" s="63">
        <f>E17*30%</f>
        <v>873</v>
      </c>
      <c r="H17" s="62"/>
      <c r="I17" s="62"/>
      <c r="J17" s="62"/>
      <c r="K17" s="62"/>
      <c r="L17" s="62">
        <v>80</v>
      </c>
      <c r="M17" s="63">
        <f>E17*L17%</f>
        <v>2328</v>
      </c>
      <c r="N17" s="63">
        <f>(E17+G17+M17+K17+I17)</f>
        <v>6111</v>
      </c>
    </row>
    <row r="18" spans="1:14" ht="27" customHeight="1">
      <c r="A18" s="68" t="s">
        <v>43</v>
      </c>
      <c r="B18" s="60" t="s">
        <v>44</v>
      </c>
      <c r="C18" s="69">
        <v>1</v>
      </c>
      <c r="D18" s="62">
        <v>8</v>
      </c>
      <c r="E18" s="63">
        <v>4379</v>
      </c>
      <c r="F18" s="66">
        <v>30</v>
      </c>
      <c r="G18" s="63">
        <f>E18*30%</f>
        <v>1313.7</v>
      </c>
      <c r="H18" s="62"/>
      <c r="I18" s="62"/>
      <c r="J18" s="62"/>
      <c r="K18" s="62"/>
      <c r="L18" s="62">
        <v>50</v>
      </c>
      <c r="M18" s="63">
        <f>E18*L18%</f>
        <v>2189.5</v>
      </c>
      <c r="N18" s="63">
        <f>(E18+G18+M18+K18+I18)</f>
        <v>7882.2</v>
      </c>
    </row>
    <row r="19" spans="1:14" ht="20.25" customHeight="1">
      <c r="A19" s="68"/>
      <c r="B19" s="60" t="s">
        <v>45</v>
      </c>
      <c r="C19" s="69">
        <v>16</v>
      </c>
      <c r="D19" s="62"/>
      <c r="E19" s="63"/>
      <c r="F19" s="66"/>
      <c r="G19" s="62"/>
      <c r="H19" s="62"/>
      <c r="I19" s="62"/>
      <c r="J19" s="62"/>
      <c r="K19" s="62"/>
      <c r="L19" s="62"/>
      <c r="M19" s="62"/>
      <c r="N19" s="70">
        <f>SUM(N6:N18)</f>
        <v>172210.95</v>
      </c>
    </row>
    <row r="20" spans="1:14" ht="20.25" customHeight="1">
      <c r="A20" s="68"/>
      <c r="B20" s="71"/>
      <c r="C20" s="72"/>
      <c r="D20" s="73"/>
      <c r="E20" s="74"/>
      <c r="F20" s="73"/>
      <c r="G20" s="73"/>
      <c r="H20" s="73"/>
      <c r="I20" s="73"/>
      <c r="J20" s="73"/>
      <c r="K20" s="73"/>
      <c r="L20" s="73"/>
      <c r="M20" s="73"/>
      <c r="N20" s="75"/>
    </row>
    <row r="21" spans="1:14" ht="20.25" customHeight="1">
      <c r="A21" s="110" t="s">
        <v>46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</row>
    <row r="22" spans="1:14" ht="27.75" customHeight="1">
      <c r="A22" s="68" t="s">
        <v>47</v>
      </c>
      <c r="B22" s="60" t="s">
        <v>48</v>
      </c>
      <c r="C22" s="69">
        <v>1</v>
      </c>
      <c r="D22" s="62">
        <v>15</v>
      </c>
      <c r="E22" s="63">
        <v>6889</v>
      </c>
      <c r="F22" s="66">
        <v>40</v>
      </c>
      <c r="G22" s="63">
        <f>E22*F22%</f>
        <v>2755.6</v>
      </c>
      <c r="H22" s="62"/>
      <c r="I22" s="62"/>
      <c r="J22" s="62">
        <v>20</v>
      </c>
      <c r="K22" s="63">
        <f>E22*J22%</f>
        <v>1377.8</v>
      </c>
      <c r="L22" s="62">
        <v>100</v>
      </c>
      <c r="M22" s="63">
        <f>E22*L22%</f>
        <v>6889</v>
      </c>
      <c r="N22" s="63">
        <f>E22+G22+K22+M22</f>
        <v>17911.400000000001</v>
      </c>
    </row>
    <row r="23" spans="1:14" ht="79.5" customHeight="1">
      <c r="A23" s="68" t="s">
        <v>49</v>
      </c>
      <c r="B23" s="60" t="s">
        <v>50</v>
      </c>
      <c r="C23" s="69">
        <v>4</v>
      </c>
      <c r="D23" s="62">
        <v>8</v>
      </c>
      <c r="E23" s="63">
        <v>4379</v>
      </c>
      <c r="F23" s="66">
        <v>30</v>
      </c>
      <c r="G23" s="63">
        <f>E23*F23%</f>
        <v>1313.7</v>
      </c>
      <c r="H23" s="63" t="s">
        <v>33</v>
      </c>
      <c r="I23" s="63">
        <f>E23*15%</f>
        <v>656.85</v>
      </c>
      <c r="J23" s="62">
        <v>20</v>
      </c>
      <c r="K23" s="63">
        <f t="shared" ref="K23:K24" si="0">E23*J23%</f>
        <v>875.8</v>
      </c>
      <c r="L23" s="62">
        <v>50</v>
      </c>
      <c r="M23" s="63">
        <f>E23*L23%</f>
        <v>2189.5</v>
      </c>
      <c r="N23" s="63">
        <f>(E23+G23+K23+M23+I23)*4</f>
        <v>37659.4</v>
      </c>
    </row>
    <row r="24" spans="1:14" ht="27.75" customHeight="1">
      <c r="A24" s="68" t="s">
        <v>51</v>
      </c>
      <c r="B24" s="60" t="s">
        <v>52</v>
      </c>
      <c r="C24" s="69">
        <v>42</v>
      </c>
      <c r="D24" s="62">
        <v>6</v>
      </c>
      <c r="E24" s="63">
        <v>3872</v>
      </c>
      <c r="F24" s="66">
        <v>30</v>
      </c>
      <c r="G24" s="63">
        <f>E24*F24%</f>
        <v>1161.5999999999999</v>
      </c>
      <c r="H24" s="63" t="s">
        <v>33</v>
      </c>
      <c r="I24" s="63">
        <f>E24*15%</f>
        <v>580.79999999999995</v>
      </c>
      <c r="J24" s="62">
        <v>20</v>
      </c>
      <c r="K24" s="63">
        <f t="shared" si="0"/>
        <v>774.4</v>
      </c>
      <c r="L24" s="62">
        <v>50</v>
      </c>
      <c r="M24" s="63">
        <f>E24*L24%</f>
        <v>1936</v>
      </c>
      <c r="N24" s="63">
        <f>(E24+G24+K24+M24+I24)*42</f>
        <v>349641.6</v>
      </c>
    </row>
    <row r="25" spans="1:14" ht="20.25" customHeight="1">
      <c r="A25" s="68"/>
      <c r="B25" s="60" t="s">
        <v>45</v>
      </c>
      <c r="C25" s="69">
        <v>53</v>
      </c>
      <c r="D25" s="62"/>
      <c r="E25" s="63"/>
      <c r="F25" s="66"/>
      <c r="G25" s="62"/>
      <c r="H25" s="62"/>
      <c r="I25" s="62"/>
      <c r="J25" s="62"/>
      <c r="K25" s="62"/>
      <c r="L25" s="62"/>
      <c r="M25" s="62"/>
      <c r="N25" s="70">
        <f>SUM(N22:N24)</f>
        <v>405212.4</v>
      </c>
    </row>
    <row r="26" spans="1:14" ht="20.25" customHeight="1">
      <c r="A26" s="113" t="s">
        <v>53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</row>
    <row r="27" spans="1:14" ht="29.25" customHeight="1">
      <c r="A27" s="68" t="s">
        <v>54</v>
      </c>
      <c r="B27" s="60" t="s">
        <v>48</v>
      </c>
      <c r="C27" s="69">
        <v>1</v>
      </c>
      <c r="D27" s="62">
        <v>12</v>
      </c>
      <c r="E27" s="63">
        <v>5660</v>
      </c>
      <c r="F27" s="66">
        <v>40</v>
      </c>
      <c r="G27" s="63">
        <f>E27*F27%</f>
        <v>2264</v>
      </c>
      <c r="H27" s="62"/>
      <c r="I27" s="62"/>
      <c r="J27" s="62"/>
      <c r="K27" s="62"/>
      <c r="L27" s="62">
        <v>100</v>
      </c>
      <c r="M27" s="63">
        <f>E27*L27%</f>
        <v>5660</v>
      </c>
      <c r="N27" s="63">
        <f>E27+G27+M27</f>
        <v>13584</v>
      </c>
    </row>
    <row r="28" spans="1:14" ht="58.5" customHeight="1">
      <c r="A28" s="68" t="s">
        <v>55</v>
      </c>
      <c r="B28" s="60" t="s">
        <v>56</v>
      </c>
      <c r="C28" s="69">
        <v>1</v>
      </c>
      <c r="D28" s="62">
        <v>8</v>
      </c>
      <c r="E28" s="63">
        <v>4379</v>
      </c>
      <c r="F28" s="66">
        <v>30</v>
      </c>
      <c r="G28" s="63">
        <f>E28*F28%</f>
        <v>1313.7</v>
      </c>
      <c r="H28" s="63" t="s">
        <v>33</v>
      </c>
      <c r="I28" s="63">
        <f>E28*15%</f>
        <v>656.85</v>
      </c>
      <c r="J28" s="62">
        <v>10</v>
      </c>
      <c r="K28" s="63">
        <f t="shared" ref="K28" si="1">E28*J28%</f>
        <v>437.9</v>
      </c>
      <c r="L28" s="62">
        <v>50</v>
      </c>
      <c r="M28" s="63">
        <f>E28*L28%</f>
        <v>2189.5</v>
      </c>
      <c r="N28" s="63">
        <f>E28+G28+M28+K28+I28</f>
        <v>8976.9500000000007</v>
      </c>
    </row>
    <row r="29" spans="1:14" ht="55.5" customHeight="1">
      <c r="A29" s="68" t="s">
        <v>57</v>
      </c>
      <c r="B29" s="60" t="s">
        <v>58</v>
      </c>
      <c r="C29" s="69">
        <v>0.5</v>
      </c>
      <c r="D29" s="62">
        <v>6</v>
      </c>
      <c r="E29" s="63">
        <f>3872/2</f>
        <v>1936</v>
      </c>
      <c r="F29" s="66">
        <v>30</v>
      </c>
      <c r="G29" s="63">
        <f>(E29*F29%)/2</f>
        <v>290.39999999999998</v>
      </c>
      <c r="H29" s="62"/>
      <c r="I29" s="62"/>
      <c r="J29" s="62"/>
      <c r="K29" s="62"/>
      <c r="L29" s="62">
        <v>50</v>
      </c>
      <c r="M29" s="63">
        <f>E29*L29%</f>
        <v>968</v>
      </c>
      <c r="N29" s="63">
        <f>E29+G29+M29+K29</f>
        <v>3194.4</v>
      </c>
    </row>
    <row r="30" spans="1:14" ht="20.25" customHeight="1">
      <c r="A30" s="68"/>
      <c r="B30" s="60" t="s">
        <v>45</v>
      </c>
      <c r="C30" s="69">
        <v>2.5</v>
      </c>
      <c r="D30" s="62"/>
      <c r="E30" s="63"/>
      <c r="F30" s="66"/>
      <c r="G30" s="62"/>
      <c r="H30" s="62"/>
      <c r="I30" s="62"/>
      <c r="J30" s="62"/>
      <c r="K30" s="62"/>
      <c r="L30" s="62"/>
      <c r="M30" s="62"/>
      <c r="N30" s="70">
        <f>SUM(N27:N29)</f>
        <v>25755.35</v>
      </c>
    </row>
    <row r="31" spans="1:14" ht="20.25" customHeight="1">
      <c r="A31" s="113" t="s">
        <v>59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5"/>
    </row>
    <row r="32" spans="1:14" ht="27.75" customHeight="1">
      <c r="A32" s="68" t="s">
        <v>60</v>
      </c>
      <c r="B32" s="60" t="s">
        <v>48</v>
      </c>
      <c r="C32" s="69">
        <v>1</v>
      </c>
      <c r="D32" s="62">
        <v>15</v>
      </c>
      <c r="E32" s="63">
        <v>6889</v>
      </c>
      <c r="F32" s="66">
        <v>40</v>
      </c>
      <c r="G32" s="63">
        <f t="shared" ref="G32:G41" si="2">E32*F32%</f>
        <v>2755.6</v>
      </c>
      <c r="H32" s="62"/>
      <c r="I32" s="62"/>
      <c r="J32" s="62">
        <v>20</v>
      </c>
      <c r="K32" s="63">
        <f>E32*J32%</f>
        <v>1377.8</v>
      </c>
      <c r="L32" s="62">
        <v>100</v>
      </c>
      <c r="M32" s="63">
        <f t="shared" ref="M32:M41" si="3">E32*L32%</f>
        <v>6889</v>
      </c>
      <c r="N32" s="63">
        <f>E32+G32+K32+M32</f>
        <v>17911.400000000001</v>
      </c>
    </row>
    <row r="33" spans="1:14" ht="27.75" customHeight="1">
      <c r="A33" s="68" t="s">
        <v>61</v>
      </c>
      <c r="B33" s="60" t="s">
        <v>62</v>
      </c>
      <c r="C33" s="69">
        <v>1</v>
      </c>
      <c r="D33" s="62">
        <v>4</v>
      </c>
      <c r="E33" s="63">
        <v>3391</v>
      </c>
      <c r="F33" s="66">
        <v>30</v>
      </c>
      <c r="G33" s="63">
        <f t="shared" si="2"/>
        <v>1017.3</v>
      </c>
      <c r="H33" s="62" t="s">
        <v>33</v>
      </c>
      <c r="I33" s="63">
        <f t="shared" ref="I33:I38" si="4">E33*15%</f>
        <v>508.65</v>
      </c>
      <c r="J33" s="62"/>
      <c r="K33" s="62"/>
      <c r="L33" s="62">
        <v>50</v>
      </c>
      <c r="M33" s="63">
        <f t="shared" si="3"/>
        <v>1695.5</v>
      </c>
      <c r="N33" s="63">
        <f>E33+G33+I33+M33</f>
        <v>6612.45</v>
      </c>
    </row>
    <row r="34" spans="1:14" ht="27.75" customHeight="1">
      <c r="A34" s="68" t="s">
        <v>63</v>
      </c>
      <c r="B34" s="60" t="s">
        <v>64</v>
      </c>
      <c r="C34" s="69">
        <v>0.5</v>
      </c>
      <c r="D34" s="62">
        <v>9</v>
      </c>
      <c r="E34" s="63">
        <v>2310</v>
      </c>
      <c r="F34" s="66">
        <v>30</v>
      </c>
      <c r="G34" s="63">
        <f t="shared" si="2"/>
        <v>693</v>
      </c>
      <c r="H34" s="62" t="s">
        <v>33</v>
      </c>
      <c r="I34" s="63">
        <f t="shared" si="4"/>
        <v>346.5</v>
      </c>
      <c r="J34" s="62"/>
      <c r="K34" s="62"/>
      <c r="L34" s="62">
        <v>50</v>
      </c>
      <c r="M34" s="63">
        <f t="shared" si="3"/>
        <v>1155</v>
      </c>
      <c r="N34" s="63">
        <f>E34+G34+I34+M34</f>
        <v>4504.5</v>
      </c>
    </row>
    <row r="35" spans="1:14" ht="27.75" customHeight="1">
      <c r="A35" s="68" t="s">
        <v>65</v>
      </c>
      <c r="B35" s="60" t="s">
        <v>66</v>
      </c>
      <c r="C35" s="69">
        <v>4.75</v>
      </c>
      <c r="D35" s="62">
        <v>6</v>
      </c>
      <c r="E35" s="63">
        <v>3872</v>
      </c>
      <c r="F35" s="66">
        <v>30</v>
      </c>
      <c r="G35" s="63">
        <f t="shared" si="2"/>
        <v>1161.5999999999999</v>
      </c>
      <c r="H35" s="62" t="s">
        <v>33</v>
      </c>
      <c r="I35" s="63">
        <f t="shared" si="4"/>
        <v>580.79999999999995</v>
      </c>
      <c r="J35" s="62" t="s">
        <v>38</v>
      </c>
      <c r="K35" s="62">
        <v>720</v>
      </c>
      <c r="L35" s="62">
        <v>100</v>
      </c>
      <c r="M35" s="63">
        <f t="shared" si="3"/>
        <v>3872</v>
      </c>
      <c r="N35" s="63">
        <f>(E35+G35+I35+M35)*4.75</f>
        <v>45060.4</v>
      </c>
    </row>
    <row r="36" spans="1:14" ht="27.75" customHeight="1">
      <c r="A36" s="68" t="s">
        <v>67</v>
      </c>
      <c r="B36" s="60" t="s">
        <v>68</v>
      </c>
      <c r="C36" s="69">
        <v>4.5</v>
      </c>
      <c r="D36" s="62">
        <v>3</v>
      </c>
      <c r="E36" s="63">
        <v>3151</v>
      </c>
      <c r="F36" s="66">
        <v>30</v>
      </c>
      <c r="G36" s="63">
        <f t="shared" si="2"/>
        <v>945.3</v>
      </c>
      <c r="H36" s="62" t="s">
        <v>33</v>
      </c>
      <c r="I36" s="63">
        <f t="shared" si="4"/>
        <v>472.65</v>
      </c>
      <c r="J36" s="62" t="s">
        <v>38</v>
      </c>
      <c r="K36" s="62">
        <v>720</v>
      </c>
      <c r="L36" s="62">
        <v>50</v>
      </c>
      <c r="M36" s="63">
        <f t="shared" si="3"/>
        <v>1575.5</v>
      </c>
      <c r="N36" s="63">
        <f>(E36+G36+I36+M36)*4.5</f>
        <v>27650.025000000001</v>
      </c>
    </row>
    <row r="37" spans="1:14" ht="27.75" customHeight="1">
      <c r="A37" s="68" t="s">
        <v>69</v>
      </c>
      <c r="B37" s="60" t="s">
        <v>70</v>
      </c>
      <c r="C37" s="69">
        <v>2</v>
      </c>
      <c r="D37" s="62">
        <v>3</v>
      </c>
      <c r="E37" s="63">
        <v>3151</v>
      </c>
      <c r="F37" s="66">
        <v>30</v>
      </c>
      <c r="G37" s="63">
        <f t="shared" si="2"/>
        <v>945.3</v>
      </c>
      <c r="H37" s="62" t="s">
        <v>33</v>
      </c>
      <c r="I37" s="63">
        <f t="shared" si="4"/>
        <v>472.65</v>
      </c>
      <c r="J37" s="62"/>
      <c r="K37" s="62"/>
      <c r="L37" s="62">
        <v>50</v>
      </c>
      <c r="M37" s="63">
        <f t="shared" si="3"/>
        <v>1575.5</v>
      </c>
      <c r="N37" s="63">
        <f>(E37+G37+I37+M37)*2</f>
        <v>12288.9</v>
      </c>
    </row>
    <row r="38" spans="1:14" ht="27.75" customHeight="1">
      <c r="A38" s="68" t="s">
        <v>71</v>
      </c>
      <c r="B38" s="60" t="s">
        <v>72</v>
      </c>
      <c r="C38" s="69">
        <v>1</v>
      </c>
      <c r="D38" s="62">
        <v>3</v>
      </c>
      <c r="E38" s="63">
        <v>3151</v>
      </c>
      <c r="F38" s="66">
        <v>30</v>
      </c>
      <c r="G38" s="63">
        <f t="shared" si="2"/>
        <v>945.3</v>
      </c>
      <c r="H38" s="62" t="s">
        <v>33</v>
      </c>
      <c r="I38" s="63">
        <f t="shared" si="4"/>
        <v>472.65</v>
      </c>
      <c r="J38" s="62"/>
      <c r="K38" s="62"/>
      <c r="L38" s="62">
        <v>50</v>
      </c>
      <c r="M38" s="63">
        <f t="shared" si="3"/>
        <v>1575.5</v>
      </c>
      <c r="N38" s="63">
        <f>(E38+G38+I38+M38)</f>
        <v>6144.45</v>
      </c>
    </row>
    <row r="39" spans="1:14" ht="45.75" customHeight="1">
      <c r="A39" s="68" t="s">
        <v>73</v>
      </c>
      <c r="B39" s="60" t="s">
        <v>74</v>
      </c>
      <c r="C39" s="69">
        <v>1</v>
      </c>
      <c r="D39" s="62">
        <v>3</v>
      </c>
      <c r="E39" s="63">
        <v>3151</v>
      </c>
      <c r="F39" s="66">
        <v>30</v>
      </c>
      <c r="G39" s="63">
        <f t="shared" si="2"/>
        <v>945.3</v>
      </c>
      <c r="H39" s="62"/>
      <c r="I39" s="62"/>
      <c r="J39" s="62"/>
      <c r="K39" s="62"/>
      <c r="L39" s="62">
        <v>65</v>
      </c>
      <c r="M39" s="63">
        <f t="shared" si="3"/>
        <v>2048.15</v>
      </c>
      <c r="N39" s="63">
        <f>(E39+G39+I39+M39)</f>
        <v>6144.45</v>
      </c>
    </row>
    <row r="40" spans="1:14" ht="19.5" customHeight="1">
      <c r="A40" s="68" t="s">
        <v>75</v>
      </c>
      <c r="B40" s="60" t="s">
        <v>76</v>
      </c>
      <c r="C40" s="69">
        <v>2</v>
      </c>
      <c r="D40" s="62">
        <v>5</v>
      </c>
      <c r="E40" s="63">
        <v>3631</v>
      </c>
      <c r="F40" s="66">
        <v>30</v>
      </c>
      <c r="G40" s="63">
        <f t="shared" si="2"/>
        <v>1089.3</v>
      </c>
      <c r="H40" s="62"/>
      <c r="I40" s="62"/>
      <c r="J40" s="62"/>
      <c r="K40" s="62"/>
      <c r="L40" s="62">
        <v>65</v>
      </c>
      <c r="M40" s="63">
        <f t="shared" si="3"/>
        <v>2360.15</v>
      </c>
      <c r="N40" s="63">
        <f>(E40+G40+I40+M40)*2</f>
        <v>14160.9</v>
      </c>
    </row>
    <row r="41" spans="1:14" ht="27" customHeight="1">
      <c r="A41" s="68" t="s">
        <v>77</v>
      </c>
      <c r="B41" s="60" t="s">
        <v>78</v>
      </c>
      <c r="C41" s="69">
        <v>2</v>
      </c>
      <c r="D41" s="62">
        <v>3</v>
      </c>
      <c r="E41" s="63">
        <v>3151</v>
      </c>
      <c r="F41" s="66">
        <v>30</v>
      </c>
      <c r="G41" s="63">
        <f t="shared" si="2"/>
        <v>945.3</v>
      </c>
      <c r="H41" s="62"/>
      <c r="I41" s="62"/>
      <c r="J41" s="62"/>
      <c r="K41" s="62"/>
      <c r="L41" s="62">
        <v>65</v>
      </c>
      <c r="M41" s="63">
        <f t="shared" si="3"/>
        <v>2048.15</v>
      </c>
      <c r="N41" s="63">
        <f>(E41+G41+I41+M41)*2</f>
        <v>12288.9</v>
      </c>
    </row>
    <row r="42" spans="1:14" ht="22.5" customHeight="1">
      <c r="A42" s="68"/>
      <c r="B42" s="60" t="s">
        <v>45</v>
      </c>
      <c r="C42" s="69">
        <v>19.75</v>
      </c>
      <c r="D42" s="62"/>
      <c r="E42" s="63"/>
      <c r="F42" s="66"/>
      <c r="G42" s="62"/>
      <c r="H42" s="62"/>
      <c r="I42" s="62"/>
      <c r="J42" s="62"/>
      <c r="K42" s="62"/>
      <c r="L42" s="62"/>
      <c r="M42" s="62"/>
      <c r="N42" s="70">
        <f>SUM(N32:N41)</f>
        <v>152766.375</v>
      </c>
    </row>
    <row r="43" spans="1:14" ht="19.5" customHeight="1">
      <c r="A43" s="113" t="s">
        <v>79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5"/>
    </row>
    <row r="44" spans="1:14" ht="28.5" customHeight="1">
      <c r="A44" s="68" t="s">
        <v>80</v>
      </c>
      <c r="B44" s="60" t="s">
        <v>48</v>
      </c>
      <c r="C44" s="69">
        <v>1</v>
      </c>
      <c r="D44" s="62">
        <v>12</v>
      </c>
      <c r="E44" s="63">
        <v>5660</v>
      </c>
      <c r="F44" s="66">
        <v>40</v>
      </c>
      <c r="G44" s="63">
        <f>E44*F44%</f>
        <v>2264</v>
      </c>
      <c r="H44" s="62"/>
      <c r="I44" s="62"/>
      <c r="J44" s="62"/>
      <c r="K44" s="62"/>
      <c r="L44" s="62">
        <v>100</v>
      </c>
      <c r="M44" s="63">
        <f>E44*L44%</f>
        <v>5660</v>
      </c>
      <c r="N44" s="63">
        <f>E44+G44+M44</f>
        <v>13584</v>
      </c>
    </row>
    <row r="45" spans="1:14" ht="27" customHeight="1">
      <c r="A45" s="68" t="s">
        <v>81</v>
      </c>
      <c r="B45" s="60" t="s">
        <v>82</v>
      </c>
      <c r="C45" s="69">
        <v>1</v>
      </c>
      <c r="D45" s="62">
        <v>8</v>
      </c>
      <c r="E45" s="63">
        <v>4379</v>
      </c>
      <c r="F45" s="66">
        <v>30</v>
      </c>
      <c r="G45" s="63">
        <f>E45*F45%</f>
        <v>1313.7</v>
      </c>
      <c r="H45" s="63" t="s">
        <v>33</v>
      </c>
      <c r="I45" s="63">
        <f>E45*15%</f>
        <v>656.85</v>
      </c>
      <c r="J45" s="62">
        <v>10</v>
      </c>
      <c r="K45" s="63">
        <f t="shared" ref="K45" si="5">E45*J45%</f>
        <v>437.9</v>
      </c>
      <c r="L45" s="62">
        <v>50</v>
      </c>
      <c r="M45" s="63">
        <f>E45*L45%</f>
        <v>2189.5</v>
      </c>
      <c r="N45" s="63">
        <f>E45+G45+M45+K45+I45</f>
        <v>8976.9500000000007</v>
      </c>
    </row>
    <row r="46" spans="1:14" ht="55.5" customHeight="1">
      <c r="A46" s="68" t="s">
        <v>83</v>
      </c>
      <c r="B46" s="60" t="s">
        <v>84</v>
      </c>
      <c r="C46" s="69">
        <v>1</v>
      </c>
      <c r="D46" s="62">
        <v>5</v>
      </c>
      <c r="E46" s="63">
        <v>3631</v>
      </c>
      <c r="F46" s="66">
        <v>30</v>
      </c>
      <c r="G46" s="63">
        <f>E46*F46%</f>
        <v>1089.3</v>
      </c>
      <c r="H46" s="62"/>
      <c r="I46" s="62"/>
      <c r="J46" s="62"/>
      <c r="K46" s="62"/>
      <c r="L46" s="62">
        <v>50</v>
      </c>
      <c r="M46" s="63">
        <f>E46*L46%</f>
        <v>1815.5</v>
      </c>
      <c r="N46" s="63">
        <f>(E46+G46+I46+M46)</f>
        <v>6535.8</v>
      </c>
    </row>
    <row r="47" spans="1:14" ht="12.75" customHeight="1">
      <c r="A47" s="68" t="s">
        <v>85</v>
      </c>
      <c r="B47" s="60" t="s">
        <v>86</v>
      </c>
      <c r="C47" s="69">
        <v>1</v>
      </c>
      <c r="D47" s="62">
        <v>6</v>
      </c>
      <c r="E47" s="63">
        <v>3872</v>
      </c>
      <c r="F47" s="66">
        <v>30</v>
      </c>
      <c r="G47" s="63">
        <f>E47*F47%</f>
        <v>1161.5999999999999</v>
      </c>
      <c r="H47" s="62">
        <v>0</v>
      </c>
      <c r="I47" s="63">
        <v>0</v>
      </c>
      <c r="J47" s="62">
        <v>0</v>
      </c>
      <c r="K47" s="62">
        <v>0</v>
      </c>
      <c r="L47" s="62">
        <v>50</v>
      </c>
      <c r="M47" s="63">
        <f>E47*L47%</f>
        <v>1936</v>
      </c>
      <c r="N47" s="78">
        <f>(E47+G47+I47+M47)</f>
        <v>6969.6</v>
      </c>
    </row>
    <row r="48" spans="1:14" ht="12.75" customHeight="1">
      <c r="A48" s="68"/>
      <c r="B48" s="60" t="s">
        <v>45</v>
      </c>
      <c r="C48" s="69">
        <v>4</v>
      </c>
      <c r="D48" s="62"/>
      <c r="E48" s="63"/>
      <c r="F48" s="66"/>
      <c r="G48" s="62"/>
      <c r="H48" s="62"/>
      <c r="I48" s="62"/>
      <c r="J48" s="62"/>
      <c r="K48" s="62"/>
      <c r="L48" s="62"/>
      <c r="M48" s="62"/>
      <c r="N48" s="70">
        <f>SUM(N44:N47)</f>
        <v>36066.35</v>
      </c>
    </row>
    <row r="49" spans="1:14" ht="16.5" customHeight="1">
      <c r="A49" s="113" t="s">
        <v>87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5"/>
    </row>
    <row r="50" spans="1:14" ht="26.4">
      <c r="A50" s="68" t="s">
        <v>88</v>
      </c>
      <c r="B50" s="60" t="s">
        <v>48</v>
      </c>
      <c r="C50" s="69">
        <v>1</v>
      </c>
      <c r="D50" s="62">
        <v>15</v>
      </c>
      <c r="E50" s="63">
        <v>6889</v>
      </c>
      <c r="F50" s="66">
        <v>40</v>
      </c>
      <c r="G50" s="63">
        <f>E50*F50%</f>
        <v>2755.6</v>
      </c>
      <c r="H50" s="62"/>
      <c r="I50" s="62"/>
      <c r="J50" s="62">
        <v>10</v>
      </c>
      <c r="K50" s="63">
        <f>E50*J50%</f>
        <v>688.9</v>
      </c>
      <c r="L50" s="62">
        <v>100</v>
      </c>
      <c r="M50" s="63">
        <f>E50*L50%</f>
        <v>6889</v>
      </c>
      <c r="N50" s="63">
        <f>E50+G50+K50+M50</f>
        <v>17222.5</v>
      </c>
    </row>
    <row r="51" spans="1:14" ht="45.75" customHeight="1">
      <c r="A51" s="68" t="s">
        <v>89</v>
      </c>
      <c r="B51" s="60" t="s">
        <v>90</v>
      </c>
      <c r="C51" s="69">
        <v>2</v>
      </c>
      <c r="D51" s="62">
        <v>13</v>
      </c>
      <c r="E51" s="63">
        <v>6061</v>
      </c>
      <c r="F51" s="66">
        <v>40</v>
      </c>
      <c r="G51" s="63">
        <f>E51*F51%</f>
        <v>2424.4</v>
      </c>
      <c r="H51" s="62"/>
      <c r="I51" s="62"/>
      <c r="J51" s="62">
        <v>10</v>
      </c>
      <c r="K51" s="63">
        <f>E51*J51%</f>
        <v>606.1</v>
      </c>
      <c r="L51" s="62">
        <v>100</v>
      </c>
      <c r="M51" s="63">
        <f>E51*L51%</f>
        <v>6061</v>
      </c>
      <c r="N51" s="63">
        <f>(E51+G51+K51+M51)*2</f>
        <v>30305</v>
      </c>
    </row>
    <row r="52" spans="1:14" ht="36" customHeight="1">
      <c r="A52" s="68" t="s">
        <v>91</v>
      </c>
      <c r="B52" s="60" t="s">
        <v>92</v>
      </c>
      <c r="C52" s="69">
        <v>1</v>
      </c>
      <c r="D52" s="62">
        <v>7</v>
      </c>
      <c r="E52" s="63">
        <v>4112</v>
      </c>
      <c r="F52" s="66">
        <v>30</v>
      </c>
      <c r="G52" s="63">
        <f>E52*30%</f>
        <v>1233.5999999999999</v>
      </c>
      <c r="H52" s="63"/>
      <c r="I52" s="63"/>
      <c r="J52" s="62">
        <v>0</v>
      </c>
      <c r="K52" s="63">
        <f t="shared" ref="K52:K54" si="6">E52*J52%</f>
        <v>0</v>
      </c>
      <c r="L52" s="62">
        <v>100</v>
      </c>
      <c r="M52" s="63">
        <f>E52*L52%</f>
        <v>4112</v>
      </c>
      <c r="N52" s="63">
        <f>E52+G52+M52+K52</f>
        <v>9457.6</v>
      </c>
    </row>
    <row r="53" spans="1:14" ht="51.75" customHeight="1">
      <c r="A53" s="68" t="s">
        <v>93</v>
      </c>
      <c r="B53" s="60" t="s">
        <v>94</v>
      </c>
      <c r="C53" s="69">
        <v>8</v>
      </c>
      <c r="D53" s="62">
        <v>12</v>
      </c>
      <c r="E53" s="63">
        <v>5660</v>
      </c>
      <c r="F53" s="66">
        <v>40</v>
      </c>
      <c r="G53" s="63">
        <f>E53*40%</f>
        <v>2264</v>
      </c>
      <c r="H53" s="62" t="s">
        <v>33</v>
      </c>
      <c r="I53" s="63">
        <f t="shared" ref="I53:I54" si="7">E53*15%</f>
        <v>849</v>
      </c>
      <c r="J53" s="62">
        <v>20</v>
      </c>
      <c r="K53" s="63">
        <f t="shared" si="6"/>
        <v>1132</v>
      </c>
      <c r="L53" s="62">
        <v>100</v>
      </c>
      <c r="M53" s="63">
        <f>E53*L53%</f>
        <v>5660</v>
      </c>
      <c r="N53" s="63">
        <f>(E53+G53+M53+K53+I53)*8</f>
        <v>124520</v>
      </c>
    </row>
    <row r="54" spans="1:14" ht="45.75" customHeight="1">
      <c r="A54" s="68" t="s">
        <v>95</v>
      </c>
      <c r="B54" s="60" t="s">
        <v>32</v>
      </c>
      <c r="C54" s="69">
        <v>10</v>
      </c>
      <c r="D54" s="62">
        <v>9</v>
      </c>
      <c r="E54" s="63">
        <v>4619</v>
      </c>
      <c r="F54" s="66">
        <v>40</v>
      </c>
      <c r="G54" s="63">
        <f>E54*40%</f>
        <v>1847.6</v>
      </c>
      <c r="H54" s="62" t="s">
        <v>33</v>
      </c>
      <c r="I54" s="63">
        <f t="shared" si="7"/>
        <v>692.85</v>
      </c>
      <c r="J54" s="62">
        <v>10</v>
      </c>
      <c r="K54" s="63">
        <f t="shared" si="6"/>
        <v>461.9</v>
      </c>
      <c r="L54" s="62">
        <v>100</v>
      </c>
      <c r="M54" s="63">
        <f>E54*L54%</f>
        <v>4619</v>
      </c>
      <c r="N54" s="63">
        <f>(E54+G54+M54+K54+I54)*10</f>
        <v>122403.5</v>
      </c>
    </row>
    <row r="55" spans="1:14" ht="17.25" customHeight="1">
      <c r="A55" s="68"/>
      <c r="B55" s="60" t="s">
        <v>45</v>
      </c>
      <c r="C55" s="69">
        <v>22</v>
      </c>
      <c r="D55" s="62"/>
      <c r="E55" s="63"/>
      <c r="F55" s="66"/>
      <c r="G55" s="62"/>
      <c r="H55" s="62"/>
      <c r="I55" s="62"/>
      <c r="J55" s="62"/>
      <c r="K55" s="62"/>
      <c r="L55" s="62"/>
      <c r="M55" s="62"/>
      <c r="N55" s="70">
        <f>SUM(N50:N54)</f>
        <v>303908.59999999998</v>
      </c>
    </row>
    <row r="56" spans="1:14" ht="17.25" customHeight="1">
      <c r="A56" s="113" t="s">
        <v>96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5"/>
    </row>
    <row r="57" spans="1:14" ht="37.5" customHeight="1">
      <c r="A57" s="68" t="s">
        <v>97</v>
      </c>
      <c r="B57" s="60" t="s">
        <v>32</v>
      </c>
      <c r="C57" s="69">
        <v>1</v>
      </c>
      <c r="D57" s="62">
        <v>9</v>
      </c>
      <c r="E57" s="63">
        <v>4619</v>
      </c>
      <c r="F57" s="66">
        <v>40</v>
      </c>
      <c r="G57" s="63">
        <f>E57*40%</f>
        <v>1847.6</v>
      </c>
      <c r="H57" s="62" t="s">
        <v>33</v>
      </c>
      <c r="I57" s="63">
        <f t="shared" ref="I57" si="8">E57*15%</f>
        <v>692.85</v>
      </c>
      <c r="J57" s="62">
        <v>10</v>
      </c>
      <c r="K57" s="63">
        <f t="shared" ref="K57:K59" si="9">E57*J57%</f>
        <v>461.9</v>
      </c>
      <c r="L57" s="62">
        <v>100</v>
      </c>
      <c r="M57" s="63">
        <f>E57*L57%</f>
        <v>4619</v>
      </c>
      <c r="N57" s="63">
        <f>(E57+G57+M57+K57+I57)</f>
        <v>12240.35</v>
      </c>
    </row>
    <row r="58" spans="1:14" ht="17.25" customHeight="1">
      <c r="A58" s="68" t="s">
        <v>98</v>
      </c>
      <c r="B58" s="60" t="s">
        <v>35</v>
      </c>
      <c r="C58" s="69">
        <v>0.5</v>
      </c>
      <c r="D58" s="62">
        <v>7</v>
      </c>
      <c r="E58" s="63">
        <f>4112/2</f>
        <v>2056</v>
      </c>
      <c r="F58" s="66">
        <v>30</v>
      </c>
      <c r="G58" s="63">
        <f>E58*30%</f>
        <v>616.79999999999995</v>
      </c>
      <c r="H58" s="63"/>
      <c r="I58" s="63"/>
      <c r="J58" s="62">
        <v>0</v>
      </c>
      <c r="K58" s="63">
        <f t="shared" si="9"/>
        <v>0</v>
      </c>
      <c r="L58" s="62">
        <v>50</v>
      </c>
      <c r="M58" s="63">
        <f>E58*L58%</f>
        <v>1028</v>
      </c>
      <c r="N58" s="63">
        <f>E58+G58+M58+K58</f>
        <v>3700.8</v>
      </c>
    </row>
    <row r="59" spans="1:14" ht="25.5" customHeight="1">
      <c r="A59" s="68" t="s">
        <v>99</v>
      </c>
      <c r="B59" s="60" t="s">
        <v>100</v>
      </c>
      <c r="C59" s="69">
        <v>1.5</v>
      </c>
      <c r="D59" s="62">
        <v>8</v>
      </c>
      <c r="E59" s="63">
        <v>4379</v>
      </c>
      <c r="F59" s="66">
        <v>30</v>
      </c>
      <c r="G59" s="63">
        <f>E59*F59%</f>
        <v>1313.7</v>
      </c>
      <c r="H59" s="63" t="s">
        <v>33</v>
      </c>
      <c r="I59" s="63">
        <f>E59*15%</f>
        <v>656.85</v>
      </c>
      <c r="J59" s="62">
        <v>0</v>
      </c>
      <c r="K59" s="63">
        <f t="shared" si="9"/>
        <v>0</v>
      </c>
      <c r="L59" s="62">
        <v>50</v>
      </c>
      <c r="M59" s="63">
        <f>E59*L59%</f>
        <v>2189.5</v>
      </c>
      <c r="N59" s="63">
        <f>(E59+G59+M59+K59+I59)*1.5</f>
        <v>12808.575000000001</v>
      </c>
    </row>
    <row r="60" spans="1:14" ht="17.25" customHeight="1">
      <c r="A60" s="68"/>
      <c r="B60" s="60" t="s">
        <v>45</v>
      </c>
      <c r="C60" s="69">
        <v>3</v>
      </c>
      <c r="D60" s="62"/>
      <c r="E60" s="63"/>
      <c r="F60" s="66"/>
      <c r="G60" s="62"/>
      <c r="H60" s="62"/>
      <c r="I60" s="62"/>
      <c r="J60" s="62"/>
      <c r="K60" s="62"/>
      <c r="L60" s="62"/>
      <c r="M60" s="62"/>
      <c r="N60" s="70">
        <f>SUM(N57:N59)</f>
        <v>28749.724999999999</v>
      </c>
    </row>
    <row r="61" spans="1:14" ht="17.25" customHeight="1">
      <c r="A61" s="113" t="s">
        <v>101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5"/>
    </row>
    <row r="62" spans="1:14" ht="43.5" customHeight="1">
      <c r="A62" s="68" t="s">
        <v>102</v>
      </c>
      <c r="B62" s="60" t="s">
        <v>103</v>
      </c>
      <c r="C62" s="69">
        <v>1</v>
      </c>
      <c r="D62" s="62">
        <v>12</v>
      </c>
      <c r="E62" s="63">
        <v>5660</v>
      </c>
      <c r="F62" s="66">
        <v>40</v>
      </c>
      <c r="G62" s="63">
        <f>E62*40%</f>
        <v>2264</v>
      </c>
      <c r="H62" s="62" t="s">
        <v>33</v>
      </c>
      <c r="I62" s="63">
        <f t="shared" ref="I62:I63" si="10">E62*15%</f>
        <v>849</v>
      </c>
      <c r="J62" s="62"/>
      <c r="K62" s="63">
        <f t="shared" ref="K62:K64" si="11">E62*J62%</f>
        <v>0</v>
      </c>
      <c r="L62" s="62">
        <v>100</v>
      </c>
      <c r="M62" s="63">
        <f>E62*L62%</f>
        <v>5660</v>
      </c>
      <c r="N62" s="63">
        <f>(E62+G62+M62+K62+I62)</f>
        <v>14433</v>
      </c>
    </row>
    <row r="63" spans="1:14" ht="37.5" customHeight="1">
      <c r="A63" s="68" t="s">
        <v>104</v>
      </c>
      <c r="B63" s="60" t="s">
        <v>32</v>
      </c>
      <c r="C63" s="69">
        <v>2</v>
      </c>
      <c r="D63" s="62">
        <v>9</v>
      </c>
      <c r="E63" s="63">
        <v>4619</v>
      </c>
      <c r="F63" s="66">
        <v>40</v>
      </c>
      <c r="G63" s="63">
        <f>E63*40%</f>
        <v>1847.6</v>
      </c>
      <c r="H63" s="62" t="s">
        <v>33</v>
      </c>
      <c r="I63" s="63">
        <f t="shared" si="10"/>
        <v>692.85</v>
      </c>
      <c r="J63" s="62">
        <v>0</v>
      </c>
      <c r="K63" s="63">
        <f t="shared" si="11"/>
        <v>0</v>
      </c>
      <c r="L63" s="62">
        <v>100</v>
      </c>
      <c r="M63" s="63">
        <f>E63*L63%</f>
        <v>4619</v>
      </c>
      <c r="N63" s="63">
        <f>(E63+G63+M63+K63+I63)*2</f>
        <v>23556.9</v>
      </c>
    </row>
    <row r="64" spans="1:14" ht="20.25" customHeight="1">
      <c r="A64" s="68" t="s">
        <v>105</v>
      </c>
      <c r="B64" s="60" t="s">
        <v>35</v>
      </c>
      <c r="C64" s="69">
        <v>1</v>
      </c>
      <c r="D64" s="62">
        <v>7</v>
      </c>
      <c r="E64" s="63">
        <v>4112</v>
      </c>
      <c r="F64" s="66">
        <v>30</v>
      </c>
      <c r="G64" s="63">
        <f>E64*30%</f>
        <v>1233.5999999999999</v>
      </c>
      <c r="H64" s="63"/>
      <c r="I64" s="63"/>
      <c r="J64" s="62">
        <v>0</v>
      </c>
      <c r="K64" s="63">
        <f t="shared" si="11"/>
        <v>0</v>
      </c>
      <c r="L64" s="62">
        <v>50</v>
      </c>
      <c r="M64" s="63">
        <f>E64*L64%</f>
        <v>2056</v>
      </c>
      <c r="N64" s="63">
        <f>E64+G64+M64+K64</f>
        <v>7401.6</v>
      </c>
    </row>
    <row r="65" spans="1:15">
      <c r="A65" s="110" t="s">
        <v>11</v>
      </c>
      <c r="B65" s="112"/>
      <c r="C65" s="69"/>
      <c r="D65" s="62"/>
      <c r="E65" s="63"/>
      <c r="F65" s="62"/>
      <c r="G65" s="63"/>
      <c r="H65" s="63"/>
      <c r="I65" s="63"/>
      <c r="J65" s="62"/>
      <c r="K65" s="63"/>
      <c r="L65" s="62"/>
      <c r="M65" s="63"/>
      <c r="N65" s="70">
        <f>SUM(N62:N64)</f>
        <v>45391.5</v>
      </c>
    </row>
    <row r="66" spans="1:15" ht="15.6">
      <c r="A66" s="116">
        <v>124.25</v>
      </c>
      <c r="B66" s="117"/>
      <c r="C66" s="118"/>
      <c r="D66" s="79"/>
      <c r="E66" s="80">
        <f>E65*11</f>
        <v>0</v>
      </c>
      <c r="F66" s="81"/>
      <c r="G66" s="82">
        <f>G65*11</f>
        <v>0</v>
      </c>
      <c r="H66" s="82"/>
      <c r="I66" s="82"/>
      <c r="J66" s="83"/>
      <c r="K66" s="82">
        <f>K65*11</f>
        <v>0</v>
      </c>
      <c r="L66" s="83"/>
      <c r="M66" s="82">
        <f>M65*11</f>
        <v>0</v>
      </c>
      <c r="N66" s="80">
        <f>N19+N25+N30+N42+N48+N55+N60+N65</f>
        <v>1170061.25</v>
      </c>
    </row>
    <row r="67" spans="1:15">
      <c r="B67" s="84" t="s">
        <v>106</v>
      </c>
    </row>
    <row r="68" spans="1:15" ht="50.25" customHeight="1"/>
    <row r="69" spans="1:15" ht="38.25" customHeight="1">
      <c r="B69" s="85"/>
      <c r="C69" s="48"/>
      <c r="D69" s="45"/>
      <c r="E69" s="86"/>
      <c r="F69" s="85"/>
      <c r="G69" s="48"/>
      <c r="H69" s="48"/>
      <c r="I69" s="48"/>
      <c r="J69" s="48"/>
    </row>
    <row r="70" spans="1:15" ht="15.6">
      <c r="B70" s="85"/>
      <c r="C70" s="48"/>
      <c r="D70" s="45"/>
      <c r="E70" s="86"/>
      <c r="F70" s="85"/>
      <c r="G70" s="48"/>
      <c r="H70" s="48"/>
      <c r="I70" s="48"/>
      <c r="J70" s="48"/>
    </row>
    <row r="71" spans="1:15" ht="15.6">
      <c r="B71" s="85"/>
      <c r="C71" s="48"/>
      <c r="D71" s="45"/>
      <c r="E71" s="86"/>
      <c r="F71" s="85"/>
      <c r="G71" s="48"/>
      <c r="H71" s="48"/>
      <c r="I71" s="48"/>
      <c r="J71" s="48"/>
    </row>
    <row r="72" spans="1:15" ht="15.6">
      <c r="B72" s="47"/>
      <c r="C72" s="48"/>
      <c r="D72" s="45"/>
      <c r="E72" s="87"/>
      <c r="F72" s="85"/>
      <c r="G72" s="48"/>
      <c r="H72" s="48"/>
      <c r="I72" s="48"/>
      <c r="J72" s="48"/>
    </row>
    <row r="73" spans="1:15" ht="15.6">
      <c r="B73" s="47"/>
      <c r="C73" s="48"/>
      <c r="D73" s="45"/>
      <c r="E73" s="87"/>
      <c r="F73" s="47"/>
      <c r="G73" s="48"/>
      <c r="H73" s="48"/>
      <c r="I73" s="48"/>
      <c r="J73" s="48"/>
    </row>
    <row r="74" spans="1:15" ht="15.6">
      <c r="D74" s="45"/>
      <c r="E74" s="46"/>
      <c r="F74" s="47"/>
      <c r="G74" s="48"/>
      <c r="H74" s="48"/>
      <c r="I74" s="48"/>
      <c r="J74" s="48"/>
    </row>
    <row r="75" spans="1:15" ht="15.6">
      <c r="B75" s="47"/>
      <c r="C75" s="48"/>
      <c r="D75" s="45"/>
      <c r="E75" s="46"/>
      <c r="F75" s="47"/>
      <c r="G75" s="49"/>
      <c r="H75" s="49"/>
      <c r="I75" s="49"/>
      <c r="J75" s="48"/>
    </row>
    <row r="76" spans="1:15" ht="15.75" customHeight="1"/>
    <row r="80" spans="1:15">
      <c r="O80" s="50"/>
    </row>
  </sheetData>
  <mergeCells count="15">
    <mergeCell ref="A56:N56"/>
    <mergeCell ref="A61:N61"/>
    <mergeCell ref="A65:B65"/>
    <mergeCell ref="A66:C66"/>
    <mergeCell ref="A21:N21"/>
    <mergeCell ref="A26:N26"/>
    <mergeCell ref="A31:N31"/>
    <mergeCell ref="A43:N43"/>
    <mergeCell ref="A49:N49"/>
    <mergeCell ref="A1:N1"/>
    <mergeCell ref="A2:N2"/>
    <mergeCell ref="F4:G4"/>
    <mergeCell ref="H4:I4"/>
    <mergeCell ref="J4:K4"/>
    <mergeCell ref="L4:M4"/>
  </mergeCells>
  <pageMargins left="0.7" right="0.7" top="0.75" bottom="0.75" header="0.3" footer="0.3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topLeftCell="A49" workbookViewId="0">
      <selection activeCell="N27" sqref="N27:N28"/>
    </sheetView>
  </sheetViews>
  <sheetFormatPr defaultColWidth="9" defaultRowHeight="13.2"/>
  <cols>
    <col min="1" max="1" width="2.88671875" customWidth="1"/>
    <col min="2" max="2" width="15.88671875" customWidth="1"/>
    <col min="3" max="3" width="5.5546875" customWidth="1"/>
    <col min="4" max="4" width="10.33203125" customWidth="1"/>
    <col min="5" max="5" width="10.5546875" customWidth="1"/>
    <col min="7" max="7" width="10.88671875" customWidth="1"/>
    <col min="8" max="8" width="11.5546875" customWidth="1"/>
    <col min="9" max="9" width="8.88671875" customWidth="1"/>
    <col min="10" max="10" width="7" customWidth="1"/>
    <col min="11" max="11" width="9.109375" customWidth="1"/>
    <col min="12" max="12" width="5.33203125" customWidth="1"/>
    <col min="13" max="13" width="12" customWidth="1"/>
    <col min="14" max="14" width="15" customWidth="1"/>
    <col min="15" max="15" width="10.109375" customWidth="1"/>
  </cols>
  <sheetData>
    <row r="1" spans="1:14" ht="15.6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7.399999999999999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7.399999999999999">
      <c r="A3" s="51"/>
      <c r="B3" s="52"/>
      <c r="C3" s="52"/>
      <c r="D3" s="52"/>
      <c r="E3" s="52"/>
      <c r="F3" s="52"/>
      <c r="G3" s="52" t="s">
        <v>1</v>
      </c>
      <c r="H3" s="52"/>
      <c r="I3" s="52"/>
      <c r="J3" s="52"/>
      <c r="K3" s="52"/>
      <c r="L3" s="52"/>
      <c r="M3" s="52"/>
      <c r="N3" s="52"/>
    </row>
    <row r="4" spans="1:14" ht="41.25" customHeight="1">
      <c r="A4" s="53" t="s">
        <v>2</v>
      </c>
      <c r="B4" s="54" t="s">
        <v>3</v>
      </c>
      <c r="C4" s="55" t="s">
        <v>4</v>
      </c>
      <c r="D4" s="56" t="s">
        <v>5</v>
      </c>
      <c r="E4" s="56" t="s">
        <v>6</v>
      </c>
      <c r="F4" s="108" t="s">
        <v>7</v>
      </c>
      <c r="G4" s="109"/>
      <c r="H4" s="108" t="s">
        <v>8</v>
      </c>
      <c r="I4" s="109"/>
      <c r="J4" s="108" t="s">
        <v>9</v>
      </c>
      <c r="K4" s="109"/>
      <c r="L4" s="108" t="s">
        <v>10</v>
      </c>
      <c r="M4" s="109"/>
      <c r="N4" s="58" t="s">
        <v>11</v>
      </c>
    </row>
    <row r="5" spans="1:14">
      <c r="A5" s="53"/>
      <c r="B5" s="54"/>
      <c r="C5" s="55"/>
      <c r="D5" s="56"/>
      <c r="E5" s="55" t="s">
        <v>12</v>
      </c>
      <c r="F5" s="57" t="s">
        <v>13</v>
      </c>
      <c r="G5" s="54" t="s">
        <v>12</v>
      </c>
      <c r="H5" s="57" t="s">
        <v>13</v>
      </c>
      <c r="I5" s="54" t="s">
        <v>12</v>
      </c>
      <c r="J5" s="54" t="s">
        <v>13</v>
      </c>
      <c r="K5" s="54" t="s">
        <v>12</v>
      </c>
      <c r="L5" s="54" t="s">
        <v>13</v>
      </c>
      <c r="M5" s="54" t="s">
        <v>12</v>
      </c>
      <c r="N5" s="58" t="s">
        <v>12</v>
      </c>
    </row>
    <row r="6" spans="1:14" ht="18.75" customHeight="1">
      <c r="A6" s="59" t="s">
        <v>14</v>
      </c>
      <c r="B6" s="60" t="s">
        <v>15</v>
      </c>
      <c r="C6" s="61">
        <v>1</v>
      </c>
      <c r="D6" s="62">
        <v>18</v>
      </c>
      <c r="E6" s="63">
        <v>8571</v>
      </c>
      <c r="F6" s="62">
        <v>50</v>
      </c>
      <c r="G6" s="64">
        <f>E6*F6%</f>
        <v>4285.5</v>
      </c>
      <c r="H6" s="64"/>
      <c r="I6" s="64"/>
      <c r="J6" s="65">
        <v>20</v>
      </c>
      <c r="K6" s="65">
        <f>E6*J6%</f>
        <v>1714.2</v>
      </c>
      <c r="L6" s="65">
        <v>100</v>
      </c>
      <c r="M6" s="64">
        <f>E6*100%</f>
        <v>8571</v>
      </c>
      <c r="N6" s="63">
        <f>E6+G6+M6+K6</f>
        <v>23141.7</v>
      </c>
    </row>
    <row r="7" spans="1:14" ht="29.25" customHeight="1">
      <c r="A7" s="59" t="s">
        <v>16</v>
      </c>
      <c r="B7" s="60" t="s">
        <v>17</v>
      </c>
      <c r="C7" s="61">
        <v>1</v>
      </c>
      <c r="D7" s="59" t="s">
        <v>18</v>
      </c>
      <c r="E7" s="63">
        <v>8142</v>
      </c>
      <c r="F7" s="62">
        <v>50</v>
      </c>
      <c r="G7" s="64">
        <f>E7*F7%</f>
        <v>4071</v>
      </c>
      <c r="H7" s="64"/>
      <c r="I7" s="64"/>
      <c r="J7" s="65">
        <v>20</v>
      </c>
      <c r="K7" s="65">
        <f>E7*J7%</f>
        <v>1628.4</v>
      </c>
      <c r="L7" s="65">
        <v>100</v>
      </c>
      <c r="M7" s="64">
        <f>E7*100%</f>
        <v>8142</v>
      </c>
      <c r="N7" s="63">
        <f>E7+G7+K7+M7</f>
        <v>21983.4</v>
      </c>
    </row>
    <row r="8" spans="1:14" ht="29.25" customHeight="1">
      <c r="A8" s="59" t="s">
        <v>19</v>
      </c>
      <c r="B8" s="60" t="s">
        <v>20</v>
      </c>
      <c r="C8" s="61">
        <v>1</v>
      </c>
      <c r="D8" s="59" t="s">
        <v>21</v>
      </c>
      <c r="E8" s="63">
        <v>7714</v>
      </c>
      <c r="F8" s="62">
        <v>50</v>
      </c>
      <c r="G8" s="64">
        <f>E8*F8%</f>
        <v>3857</v>
      </c>
      <c r="H8" s="64"/>
      <c r="I8" s="64"/>
      <c r="J8" s="65"/>
      <c r="K8" s="65"/>
      <c r="L8" s="65">
        <v>100</v>
      </c>
      <c r="M8" s="64">
        <f>E8*100%</f>
        <v>7714</v>
      </c>
      <c r="N8" s="63">
        <f>E8+G8+K8+M8</f>
        <v>19285</v>
      </c>
    </row>
    <row r="9" spans="1:14" ht="13.5" customHeight="1">
      <c r="A9" s="59" t="s">
        <v>22</v>
      </c>
      <c r="B9" s="60" t="s">
        <v>23</v>
      </c>
      <c r="C9" s="61">
        <v>1</v>
      </c>
      <c r="D9" s="59" t="s">
        <v>24</v>
      </c>
      <c r="E9" s="63">
        <v>6557</v>
      </c>
      <c r="F9" s="62">
        <v>50</v>
      </c>
      <c r="G9" s="63">
        <f>E9*50%</f>
        <v>3278.5</v>
      </c>
      <c r="H9" s="63"/>
      <c r="I9" s="63"/>
      <c r="J9" s="62">
        <v>0</v>
      </c>
      <c r="K9" s="62">
        <v>0</v>
      </c>
      <c r="L9" s="62">
        <v>100</v>
      </c>
      <c r="M9" s="63">
        <f>E9*L9%</f>
        <v>6557</v>
      </c>
      <c r="N9" s="63">
        <f>E9+G9+K9+M9</f>
        <v>16392.5</v>
      </c>
    </row>
    <row r="10" spans="1:14" ht="30.75" customHeight="1">
      <c r="A10" s="59" t="s">
        <v>25</v>
      </c>
      <c r="B10" s="60" t="s">
        <v>26</v>
      </c>
      <c r="C10" s="61">
        <v>1</v>
      </c>
      <c r="D10" s="62">
        <v>7</v>
      </c>
      <c r="E10" s="63">
        <v>4112</v>
      </c>
      <c r="F10" s="66">
        <v>30</v>
      </c>
      <c r="G10" s="63">
        <f>E10*30%</f>
        <v>1233.5999999999999</v>
      </c>
      <c r="H10" s="63"/>
      <c r="I10" s="63"/>
      <c r="J10" s="62"/>
      <c r="K10" s="62"/>
      <c r="L10" s="62">
        <v>50</v>
      </c>
      <c r="M10" s="63">
        <f>E10*L10%</f>
        <v>2056</v>
      </c>
      <c r="N10" s="63">
        <f>E10+G10+K10+M10</f>
        <v>7401.6</v>
      </c>
    </row>
    <row r="11" spans="1:14" ht="30.75" customHeight="1">
      <c r="A11" s="59" t="s">
        <v>27</v>
      </c>
      <c r="B11" s="60" t="s">
        <v>28</v>
      </c>
      <c r="C11" s="61">
        <v>1</v>
      </c>
      <c r="D11" s="62">
        <v>6</v>
      </c>
      <c r="E11" s="63">
        <v>3872</v>
      </c>
      <c r="F11" s="66">
        <v>30</v>
      </c>
      <c r="G11" s="63">
        <f>E11*30%</f>
        <v>1161.5999999999999</v>
      </c>
      <c r="H11" s="63"/>
      <c r="I11" s="63">
        <v>0</v>
      </c>
      <c r="J11" s="62"/>
      <c r="K11" s="62"/>
      <c r="L11" s="62">
        <v>50</v>
      </c>
      <c r="M11" s="63">
        <f>E11*L11%</f>
        <v>1936</v>
      </c>
      <c r="N11" s="63">
        <f>E11+G11+K11+M11+I11</f>
        <v>6969.6</v>
      </c>
    </row>
    <row r="12" spans="1:14" ht="30.75" customHeight="1">
      <c r="A12" s="59" t="s">
        <v>29</v>
      </c>
      <c r="B12" s="60" t="s">
        <v>30</v>
      </c>
      <c r="C12" s="61">
        <v>1</v>
      </c>
      <c r="D12" s="62">
        <v>9</v>
      </c>
      <c r="E12" s="63">
        <v>4619</v>
      </c>
      <c r="F12" s="66">
        <v>30</v>
      </c>
      <c r="G12" s="63">
        <f>E12*30%</f>
        <v>1385.7</v>
      </c>
      <c r="H12" s="63"/>
      <c r="I12" s="63"/>
      <c r="J12" s="62"/>
      <c r="K12" s="62"/>
      <c r="L12" s="62">
        <v>50</v>
      </c>
      <c r="M12" s="63">
        <f>E12*L12%</f>
        <v>2309.5</v>
      </c>
      <c r="N12" s="63">
        <f>E12+G12+K12+M12+I12</f>
        <v>8314.2000000000007</v>
      </c>
    </row>
    <row r="13" spans="1:14" ht="42.75" customHeight="1">
      <c r="A13" s="59" t="s">
        <v>31</v>
      </c>
      <c r="B13" s="60" t="s">
        <v>32</v>
      </c>
      <c r="C13" s="61">
        <v>1</v>
      </c>
      <c r="D13" s="62">
        <v>10</v>
      </c>
      <c r="E13" s="63">
        <v>4859</v>
      </c>
      <c r="F13" s="66">
        <v>30</v>
      </c>
      <c r="G13" s="63">
        <f>E13*F13%</f>
        <v>1457.7</v>
      </c>
      <c r="H13" s="63" t="s">
        <v>33</v>
      </c>
      <c r="I13" s="63">
        <f>E13*15%</f>
        <v>728.85</v>
      </c>
      <c r="J13" s="62">
        <v>20</v>
      </c>
      <c r="K13" s="63">
        <f>E13*J13%</f>
        <v>971.8</v>
      </c>
      <c r="L13" s="62">
        <v>100</v>
      </c>
      <c r="M13" s="63">
        <f>E13</f>
        <v>4859</v>
      </c>
      <c r="N13" s="63">
        <f>E13+G13+K13+M13+I13</f>
        <v>12876.35</v>
      </c>
    </row>
    <row r="14" spans="1:14" ht="36" customHeight="1">
      <c r="A14" s="59" t="s">
        <v>34</v>
      </c>
      <c r="B14" s="60" t="s">
        <v>35</v>
      </c>
      <c r="C14" s="61">
        <v>1</v>
      </c>
      <c r="D14" s="62">
        <v>7</v>
      </c>
      <c r="E14" s="63">
        <v>4112</v>
      </c>
      <c r="F14" s="66">
        <v>30</v>
      </c>
      <c r="G14" s="63">
        <f>E14*30%</f>
        <v>1233.5999999999999</v>
      </c>
      <c r="H14" s="63"/>
      <c r="I14" s="63"/>
      <c r="J14" s="62">
        <v>0</v>
      </c>
      <c r="K14" s="62">
        <v>0</v>
      </c>
      <c r="L14" s="62">
        <v>100</v>
      </c>
      <c r="M14" s="63">
        <f>E14*L14%</f>
        <v>4112</v>
      </c>
      <c r="N14" s="63">
        <f>E14+G14+M14+K14</f>
        <v>9457.6</v>
      </c>
    </row>
    <row r="15" spans="1:14" ht="20.25" customHeight="1">
      <c r="A15" s="59" t="s">
        <v>36</v>
      </c>
      <c r="B15" s="67" t="s">
        <v>37</v>
      </c>
      <c r="C15" s="61">
        <v>4</v>
      </c>
      <c r="D15" s="62">
        <v>1</v>
      </c>
      <c r="E15" s="63">
        <v>2670</v>
      </c>
      <c r="F15" s="66">
        <v>30</v>
      </c>
      <c r="G15" s="63">
        <f>E15*30%</f>
        <v>801</v>
      </c>
      <c r="H15" s="62" t="s">
        <v>38</v>
      </c>
      <c r="I15" s="62">
        <v>432</v>
      </c>
      <c r="J15" s="62"/>
      <c r="K15" s="62"/>
      <c r="L15" s="62">
        <v>100</v>
      </c>
      <c r="M15" s="63">
        <f>E15*L15%</f>
        <v>2670</v>
      </c>
      <c r="N15" s="63">
        <f>(E15+G15+M15+K15+I15)*4</f>
        <v>26292</v>
      </c>
    </row>
    <row r="16" spans="1:14" ht="20.25" customHeight="1">
      <c r="A16" s="68" t="s">
        <v>39</v>
      </c>
      <c r="B16" s="60" t="s">
        <v>40</v>
      </c>
      <c r="C16" s="69">
        <v>1</v>
      </c>
      <c r="D16" s="62">
        <v>4</v>
      </c>
      <c r="E16" s="63">
        <v>3391</v>
      </c>
      <c r="F16" s="66">
        <v>30</v>
      </c>
      <c r="G16" s="63">
        <f>E16*30%</f>
        <v>1017.3</v>
      </c>
      <c r="H16" s="62"/>
      <c r="I16" s="62"/>
      <c r="J16" s="62"/>
      <c r="K16" s="62"/>
      <c r="L16" s="62">
        <v>50</v>
      </c>
      <c r="M16" s="63">
        <f>E16*L16%</f>
        <v>1695.5</v>
      </c>
      <c r="N16" s="63">
        <f>(E16+G16+M16+K16+I16)</f>
        <v>6103.8</v>
      </c>
    </row>
    <row r="17" spans="1:15" ht="20.25" customHeight="1">
      <c r="A17" s="68" t="s">
        <v>41</v>
      </c>
      <c r="B17" s="60" t="s">
        <v>42</v>
      </c>
      <c r="C17" s="69">
        <v>1</v>
      </c>
      <c r="D17" s="62">
        <v>2</v>
      </c>
      <c r="E17" s="63">
        <v>2910</v>
      </c>
      <c r="F17" s="66">
        <v>30</v>
      </c>
      <c r="G17" s="63">
        <f>E17*30%</f>
        <v>873</v>
      </c>
      <c r="H17" s="62"/>
      <c r="I17" s="62"/>
      <c r="J17" s="62"/>
      <c r="K17" s="62"/>
      <c r="L17" s="62">
        <v>80</v>
      </c>
      <c r="M17" s="63">
        <f>E17*L17%</f>
        <v>2328</v>
      </c>
      <c r="N17" s="63">
        <f>(E17+G17+M17+K17+I17)</f>
        <v>6111</v>
      </c>
    </row>
    <row r="18" spans="1:15" ht="27" customHeight="1">
      <c r="A18" s="68" t="s">
        <v>43</v>
      </c>
      <c r="B18" s="60" t="s">
        <v>44</v>
      </c>
      <c r="C18" s="69">
        <v>1</v>
      </c>
      <c r="D18" s="62">
        <v>8</v>
      </c>
      <c r="E18" s="63">
        <v>4379</v>
      </c>
      <c r="F18" s="66">
        <v>30</v>
      </c>
      <c r="G18" s="63">
        <f>E18*30%</f>
        <v>1313.7</v>
      </c>
      <c r="H18" s="62"/>
      <c r="I18" s="62"/>
      <c r="J18" s="62"/>
      <c r="K18" s="62"/>
      <c r="L18" s="62">
        <v>50</v>
      </c>
      <c r="M18" s="63">
        <f>E18*L18%</f>
        <v>2189.5</v>
      </c>
      <c r="N18" s="63">
        <f>(E18+G18+M18+K18+I18)</f>
        <v>7882.2</v>
      </c>
    </row>
    <row r="19" spans="1:15" ht="20.25" customHeight="1">
      <c r="A19" s="68"/>
      <c r="B19" s="60" t="s">
        <v>45</v>
      </c>
      <c r="C19" s="69">
        <v>16</v>
      </c>
      <c r="D19" s="62"/>
      <c r="E19" s="63"/>
      <c r="F19" s="66"/>
      <c r="G19" s="62"/>
      <c r="H19" s="62"/>
      <c r="I19" s="62"/>
      <c r="J19" s="62"/>
      <c r="K19" s="62"/>
      <c r="L19" s="62"/>
      <c r="M19" s="62"/>
      <c r="N19" s="70">
        <f>SUM(N6:N18)</f>
        <v>172210.95</v>
      </c>
    </row>
    <row r="20" spans="1:15" ht="20.25" customHeight="1">
      <c r="A20" s="68"/>
      <c r="B20" s="71"/>
      <c r="C20" s="72"/>
      <c r="D20" s="73"/>
      <c r="E20" s="74"/>
      <c r="F20" s="73"/>
      <c r="G20" s="73"/>
      <c r="H20" s="73"/>
      <c r="I20" s="73"/>
      <c r="J20" s="73"/>
      <c r="K20" s="73"/>
      <c r="L20" s="73"/>
      <c r="M20" s="73"/>
      <c r="N20" s="75"/>
    </row>
    <row r="21" spans="1:15" ht="20.25" customHeight="1">
      <c r="A21" s="110" t="s">
        <v>46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</row>
    <row r="22" spans="1:15" ht="27.75" customHeight="1">
      <c r="A22" s="68" t="s">
        <v>47</v>
      </c>
      <c r="B22" s="60" t="s">
        <v>48</v>
      </c>
      <c r="C22" s="69">
        <v>1</v>
      </c>
      <c r="D22" s="62">
        <v>15</v>
      </c>
      <c r="E22" s="63">
        <v>6889</v>
      </c>
      <c r="F22" s="66">
        <v>40</v>
      </c>
      <c r="G22" s="63">
        <f>E22*F22%</f>
        <v>2755.6</v>
      </c>
      <c r="H22" s="62"/>
      <c r="I22" s="62"/>
      <c r="J22" s="62">
        <v>20</v>
      </c>
      <c r="K22" s="63">
        <f>E22*J22%</f>
        <v>1377.8</v>
      </c>
      <c r="L22" s="62">
        <v>100</v>
      </c>
      <c r="M22" s="63">
        <f>E22*L22%</f>
        <v>6889</v>
      </c>
      <c r="N22" s="63">
        <f>E22+G22+K22+M22</f>
        <v>17911.400000000001</v>
      </c>
    </row>
    <row r="23" spans="1:15" ht="79.5" customHeight="1">
      <c r="A23" s="68" t="s">
        <v>49</v>
      </c>
      <c r="B23" s="60" t="s">
        <v>50</v>
      </c>
      <c r="C23" s="69">
        <v>4</v>
      </c>
      <c r="D23" s="62">
        <v>8</v>
      </c>
      <c r="E23" s="63">
        <v>4379</v>
      </c>
      <c r="F23" s="66">
        <v>30</v>
      </c>
      <c r="G23" s="63">
        <f>E23*F23%</f>
        <v>1313.7</v>
      </c>
      <c r="H23" s="63" t="s">
        <v>33</v>
      </c>
      <c r="I23" s="63">
        <f>E23*15%</f>
        <v>656.85</v>
      </c>
      <c r="J23" s="62">
        <v>20</v>
      </c>
      <c r="K23" s="63">
        <f t="shared" ref="K23:K24" si="0">E23*J23%</f>
        <v>875.8</v>
      </c>
      <c r="L23" s="62">
        <v>50</v>
      </c>
      <c r="M23" s="63">
        <f>E23*L23%</f>
        <v>2189.5</v>
      </c>
      <c r="N23" s="63">
        <f>(E23+G23+K23+M23+I23)*4</f>
        <v>37659.4</v>
      </c>
    </row>
    <row r="24" spans="1:15" ht="27.75" customHeight="1">
      <c r="A24" s="68" t="s">
        <v>51</v>
      </c>
      <c r="B24" s="60" t="s">
        <v>52</v>
      </c>
      <c r="C24" s="69">
        <v>41</v>
      </c>
      <c r="D24" s="62">
        <v>6</v>
      </c>
      <c r="E24" s="63">
        <v>3872</v>
      </c>
      <c r="F24" s="66">
        <v>30</v>
      </c>
      <c r="G24" s="63">
        <f>E24*F24%</f>
        <v>1161.5999999999999</v>
      </c>
      <c r="H24" s="76" t="s">
        <v>107</v>
      </c>
      <c r="I24" s="63">
        <f>E24*15%</f>
        <v>580.79999999999995</v>
      </c>
      <c r="J24" s="62">
        <v>20</v>
      </c>
      <c r="K24" s="63">
        <f t="shared" si="0"/>
        <v>774.4</v>
      </c>
      <c r="L24" s="62">
        <v>50</v>
      </c>
      <c r="M24" s="63">
        <f>E24*L24%</f>
        <v>1936</v>
      </c>
      <c r="N24" s="63">
        <f>(E24+G24+K24+M24+I24)*41</f>
        <v>341316.8</v>
      </c>
      <c r="O24" s="15">
        <f>N24/41</f>
        <v>8324.7999999999993</v>
      </c>
    </row>
    <row r="25" spans="1:15" ht="20.25" customHeight="1">
      <c r="A25" s="68"/>
      <c r="B25" s="60" t="s">
        <v>45</v>
      </c>
      <c r="C25" s="69">
        <v>47</v>
      </c>
      <c r="D25" s="62"/>
      <c r="E25" s="63"/>
      <c r="F25" s="66"/>
      <c r="G25" s="62"/>
      <c r="H25" s="62"/>
      <c r="I25" s="62"/>
      <c r="J25" s="62"/>
      <c r="K25" s="62"/>
      <c r="L25" s="62"/>
      <c r="M25" s="62"/>
      <c r="N25" s="70">
        <f>SUM(N22:N24)</f>
        <v>396887.6</v>
      </c>
    </row>
    <row r="26" spans="1:15" ht="20.25" customHeight="1">
      <c r="A26" s="113" t="s">
        <v>53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</row>
    <row r="27" spans="1:15" ht="29.25" customHeight="1">
      <c r="A27" s="68" t="s">
        <v>54</v>
      </c>
      <c r="B27" s="60" t="s">
        <v>48</v>
      </c>
      <c r="C27" s="69">
        <v>1</v>
      </c>
      <c r="D27" s="62">
        <v>12</v>
      </c>
      <c r="E27" s="63">
        <v>5660</v>
      </c>
      <c r="F27" s="66">
        <v>40</v>
      </c>
      <c r="G27" s="63">
        <f>E27*F27%</f>
        <v>2264</v>
      </c>
      <c r="H27" s="62"/>
      <c r="I27" s="62"/>
      <c r="J27" s="62"/>
      <c r="K27" s="62"/>
      <c r="L27" s="62">
        <v>100</v>
      </c>
      <c r="M27" s="63">
        <f>E27*L27%</f>
        <v>5660</v>
      </c>
      <c r="N27" s="63">
        <f>E27+G27+M27</f>
        <v>13584</v>
      </c>
    </row>
    <row r="28" spans="1:15" ht="58.5" customHeight="1">
      <c r="A28" s="68" t="s">
        <v>55</v>
      </c>
      <c r="B28" s="60" t="s">
        <v>56</v>
      </c>
      <c r="C28" s="69">
        <v>1</v>
      </c>
      <c r="D28" s="62">
        <v>8</v>
      </c>
      <c r="E28" s="63">
        <v>4379</v>
      </c>
      <c r="F28" s="66">
        <v>30</v>
      </c>
      <c r="G28" s="63">
        <f>E28*F28%</f>
        <v>1313.7</v>
      </c>
      <c r="H28" s="63" t="s">
        <v>33</v>
      </c>
      <c r="I28" s="63">
        <f>E28*15%</f>
        <v>656.85</v>
      </c>
      <c r="J28" s="62">
        <v>10</v>
      </c>
      <c r="K28" s="63">
        <f t="shared" ref="K28" si="1">E28*J28%</f>
        <v>437.9</v>
      </c>
      <c r="L28" s="62">
        <v>50</v>
      </c>
      <c r="M28" s="63">
        <f>E28*L28%</f>
        <v>2189.5</v>
      </c>
      <c r="N28" s="63">
        <f>E28+G28+M28+K28+I28</f>
        <v>8976.9500000000007</v>
      </c>
    </row>
    <row r="29" spans="1:15" ht="55.5" customHeight="1">
      <c r="A29" s="68" t="s">
        <v>57</v>
      </c>
      <c r="B29" s="60" t="s">
        <v>58</v>
      </c>
      <c r="C29" s="69">
        <v>0.5</v>
      </c>
      <c r="D29" s="62">
        <v>6</v>
      </c>
      <c r="E29" s="63">
        <f>3872/2</f>
        <v>1936</v>
      </c>
      <c r="F29" s="66">
        <v>30</v>
      </c>
      <c r="G29" s="63">
        <f>(E29*F29%)/2</f>
        <v>290.39999999999998</v>
      </c>
      <c r="H29" s="62"/>
      <c r="I29" s="62"/>
      <c r="J29" s="62"/>
      <c r="K29" s="62"/>
      <c r="L29" s="62">
        <v>50</v>
      </c>
      <c r="M29" s="63">
        <f>E29*L29%</f>
        <v>968</v>
      </c>
      <c r="N29" s="63">
        <f>E29+G29+M29+K29</f>
        <v>3194.4</v>
      </c>
    </row>
    <row r="30" spans="1:15" ht="20.25" customHeight="1">
      <c r="A30" s="68"/>
      <c r="B30" s="60" t="s">
        <v>45</v>
      </c>
      <c r="C30" s="69">
        <v>2.5</v>
      </c>
      <c r="D30" s="62"/>
      <c r="E30" s="63"/>
      <c r="F30" s="66"/>
      <c r="G30" s="62"/>
      <c r="H30" s="62"/>
      <c r="I30" s="62"/>
      <c r="J30" s="62"/>
      <c r="K30" s="62"/>
      <c r="L30" s="62"/>
      <c r="M30" s="62"/>
      <c r="N30" s="70">
        <f>SUM(N27:N29)</f>
        <v>25755.35</v>
      </c>
    </row>
    <row r="31" spans="1:15" ht="20.25" customHeight="1">
      <c r="A31" s="113" t="s">
        <v>59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5"/>
    </row>
    <row r="32" spans="1:15" ht="27.75" customHeight="1">
      <c r="A32" s="68" t="s">
        <v>60</v>
      </c>
      <c r="B32" s="60" t="s">
        <v>48</v>
      </c>
      <c r="C32" s="69">
        <v>1</v>
      </c>
      <c r="D32" s="62">
        <v>15</v>
      </c>
      <c r="E32" s="63">
        <v>6889</v>
      </c>
      <c r="F32" s="66">
        <v>40</v>
      </c>
      <c r="G32" s="63">
        <f t="shared" ref="G32:G41" si="2">E32*F32%</f>
        <v>2755.6</v>
      </c>
      <c r="H32" s="62"/>
      <c r="I32" s="62"/>
      <c r="J32" s="62">
        <v>20</v>
      </c>
      <c r="K32" s="63">
        <f>E32*J32%</f>
        <v>1377.8</v>
      </c>
      <c r="L32" s="62">
        <v>100</v>
      </c>
      <c r="M32" s="63">
        <f t="shared" ref="M32:M41" si="3">E32*L32%</f>
        <v>6889</v>
      </c>
      <c r="N32" s="63">
        <f>E32+G32+K32+M32</f>
        <v>17911.400000000001</v>
      </c>
    </row>
    <row r="33" spans="1:14" ht="27.75" customHeight="1">
      <c r="A33" s="68" t="s">
        <v>61</v>
      </c>
      <c r="B33" s="60" t="s">
        <v>62</v>
      </c>
      <c r="C33" s="69">
        <v>1</v>
      </c>
      <c r="D33" s="62">
        <v>4</v>
      </c>
      <c r="E33" s="63">
        <v>3391</v>
      </c>
      <c r="F33" s="66">
        <v>30</v>
      </c>
      <c r="G33" s="63">
        <f t="shared" si="2"/>
        <v>1017.3</v>
      </c>
      <c r="H33" s="62" t="s">
        <v>33</v>
      </c>
      <c r="I33" s="63">
        <f t="shared" ref="I33:I38" si="4">E33*15%</f>
        <v>508.65</v>
      </c>
      <c r="J33" s="62"/>
      <c r="K33" s="62"/>
      <c r="L33" s="62">
        <v>50</v>
      </c>
      <c r="M33" s="63">
        <f t="shared" si="3"/>
        <v>1695.5</v>
      </c>
      <c r="N33" s="63">
        <f>E33+G33+I33+M33</f>
        <v>6612.45</v>
      </c>
    </row>
    <row r="34" spans="1:14" ht="27.75" customHeight="1">
      <c r="A34" s="68" t="s">
        <v>63</v>
      </c>
      <c r="B34" s="60" t="s">
        <v>64</v>
      </c>
      <c r="C34" s="69">
        <v>0.5</v>
      </c>
      <c r="D34" s="62">
        <v>9</v>
      </c>
      <c r="E34" s="63">
        <v>2310</v>
      </c>
      <c r="F34" s="66">
        <v>30</v>
      </c>
      <c r="G34" s="63">
        <f t="shared" si="2"/>
        <v>693</v>
      </c>
      <c r="H34" s="62" t="s">
        <v>33</v>
      </c>
      <c r="I34" s="63">
        <f t="shared" si="4"/>
        <v>346.5</v>
      </c>
      <c r="J34" s="62"/>
      <c r="K34" s="62"/>
      <c r="L34" s="62">
        <v>50</v>
      </c>
      <c r="M34" s="63">
        <f t="shared" si="3"/>
        <v>1155</v>
      </c>
      <c r="N34" s="63">
        <f>E34+G34+I34+M34</f>
        <v>4504.5</v>
      </c>
    </row>
    <row r="35" spans="1:14" ht="27.75" customHeight="1">
      <c r="A35" s="68" t="s">
        <v>65</v>
      </c>
      <c r="B35" s="60" t="s">
        <v>66</v>
      </c>
      <c r="C35" s="69">
        <v>4.75</v>
      </c>
      <c r="D35" s="62">
        <v>6</v>
      </c>
      <c r="E35" s="63">
        <v>3872</v>
      </c>
      <c r="F35" s="66">
        <v>30</v>
      </c>
      <c r="G35" s="63">
        <f t="shared" si="2"/>
        <v>1161.5999999999999</v>
      </c>
      <c r="H35" s="62" t="s">
        <v>33</v>
      </c>
      <c r="I35" s="63">
        <f t="shared" si="4"/>
        <v>580.79999999999995</v>
      </c>
      <c r="J35" s="62" t="s">
        <v>38</v>
      </c>
      <c r="K35" s="62">
        <v>720</v>
      </c>
      <c r="L35" s="62">
        <v>100</v>
      </c>
      <c r="M35" s="63">
        <f t="shared" si="3"/>
        <v>3872</v>
      </c>
      <c r="N35" s="63">
        <f>(E35+G35+I35+M35)*4.75</f>
        <v>45060.4</v>
      </c>
    </row>
    <row r="36" spans="1:14" ht="27.75" customHeight="1">
      <c r="A36" s="68" t="s">
        <v>67</v>
      </c>
      <c r="B36" s="60" t="s">
        <v>68</v>
      </c>
      <c r="C36" s="69">
        <v>4.5</v>
      </c>
      <c r="D36" s="62">
        <v>3</v>
      </c>
      <c r="E36" s="63">
        <v>3151</v>
      </c>
      <c r="F36" s="66">
        <v>30</v>
      </c>
      <c r="G36" s="63">
        <f t="shared" si="2"/>
        <v>945.3</v>
      </c>
      <c r="H36" s="62" t="s">
        <v>33</v>
      </c>
      <c r="I36" s="63">
        <f t="shared" si="4"/>
        <v>472.65</v>
      </c>
      <c r="J36" s="62" t="s">
        <v>38</v>
      </c>
      <c r="K36" s="62">
        <v>720</v>
      </c>
      <c r="L36" s="62">
        <v>50</v>
      </c>
      <c r="M36" s="63">
        <f t="shared" si="3"/>
        <v>1575.5</v>
      </c>
      <c r="N36" s="63">
        <f>(E36+G36+I36+M36)*4.5</f>
        <v>27650.025000000001</v>
      </c>
    </row>
    <row r="37" spans="1:14" ht="27.75" customHeight="1">
      <c r="A37" s="68" t="s">
        <v>69</v>
      </c>
      <c r="B37" s="60" t="s">
        <v>70</v>
      </c>
      <c r="C37" s="69">
        <v>2</v>
      </c>
      <c r="D37" s="62">
        <v>3</v>
      </c>
      <c r="E37" s="63">
        <v>3151</v>
      </c>
      <c r="F37" s="66">
        <v>30</v>
      </c>
      <c r="G37" s="63">
        <f t="shared" si="2"/>
        <v>945.3</v>
      </c>
      <c r="H37" s="62" t="s">
        <v>33</v>
      </c>
      <c r="I37" s="63">
        <f t="shared" si="4"/>
        <v>472.65</v>
      </c>
      <c r="J37" s="62"/>
      <c r="K37" s="62"/>
      <c r="L37" s="62">
        <v>50</v>
      </c>
      <c r="M37" s="63">
        <f t="shared" si="3"/>
        <v>1575.5</v>
      </c>
      <c r="N37" s="63">
        <f>(E37+G37+I37+M37)*2</f>
        <v>12288.9</v>
      </c>
    </row>
    <row r="38" spans="1:14" ht="27.75" customHeight="1">
      <c r="A38" s="68" t="s">
        <v>71</v>
      </c>
      <c r="B38" s="60" t="s">
        <v>72</v>
      </c>
      <c r="C38" s="69">
        <v>1</v>
      </c>
      <c r="D38" s="62">
        <v>3</v>
      </c>
      <c r="E38" s="63">
        <v>3151</v>
      </c>
      <c r="F38" s="66">
        <v>30</v>
      </c>
      <c r="G38" s="63">
        <f t="shared" si="2"/>
        <v>945.3</v>
      </c>
      <c r="H38" s="62" t="s">
        <v>33</v>
      </c>
      <c r="I38" s="63">
        <f t="shared" si="4"/>
        <v>472.65</v>
      </c>
      <c r="J38" s="62"/>
      <c r="K38" s="62"/>
      <c r="L38" s="62">
        <v>50</v>
      </c>
      <c r="M38" s="63">
        <f t="shared" si="3"/>
        <v>1575.5</v>
      </c>
      <c r="N38" s="63">
        <f>(E38+G38+I38+M38)</f>
        <v>6144.45</v>
      </c>
    </row>
    <row r="39" spans="1:14" ht="45.75" customHeight="1">
      <c r="A39" s="68" t="s">
        <v>73</v>
      </c>
      <c r="B39" s="60" t="s">
        <v>74</v>
      </c>
      <c r="C39" s="69">
        <v>1</v>
      </c>
      <c r="D39" s="62">
        <v>3</v>
      </c>
      <c r="E39" s="63">
        <v>3151</v>
      </c>
      <c r="F39" s="66">
        <v>30</v>
      </c>
      <c r="G39" s="63">
        <f t="shared" si="2"/>
        <v>945.3</v>
      </c>
      <c r="H39" s="62"/>
      <c r="I39" s="62"/>
      <c r="J39" s="62"/>
      <c r="K39" s="62"/>
      <c r="L39" s="62">
        <v>65</v>
      </c>
      <c r="M39" s="63">
        <f t="shared" si="3"/>
        <v>2048.15</v>
      </c>
      <c r="N39" s="63">
        <f>(E39+G39+I39+M39)</f>
        <v>6144.45</v>
      </c>
    </row>
    <row r="40" spans="1:14" ht="19.5" customHeight="1">
      <c r="A40" s="68" t="s">
        <v>75</v>
      </c>
      <c r="B40" s="60" t="s">
        <v>76</v>
      </c>
      <c r="C40" s="69">
        <v>2</v>
      </c>
      <c r="D40" s="62">
        <v>5</v>
      </c>
      <c r="E40" s="63">
        <v>3631</v>
      </c>
      <c r="F40" s="66">
        <v>30</v>
      </c>
      <c r="G40" s="63">
        <f t="shared" si="2"/>
        <v>1089.3</v>
      </c>
      <c r="H40" s="62"/>
      <c r="I40" s="62"/>
      <c r="J40" s="62"/>
      <c r="K40" s="62"/>
      <c r="L40" s="62">
        <v>65</v>
      </c>
      <c r="M40" s="63">
        <f t="shared" si="3"/>
        <v>2360.15</v>
      </c>
      <c r="N40" s="63">
        <f>(E40+G40+I40+M40)*2</f>
        <v>14160.9</v>
      </c>
    </row>
    <row r="41" spans="1:14" ht="27" customHeight="1">
      <c r="A41" s="68" t="s">
        <v>77</v>
      </c>
      <c r="B41" s="60" t="s">
        <v>78</v>
      </c>
      <c r="C41" s="69">
        <v>2</v>
      </c>
      <c r="D41" s="62">
        <v>3</v>
      </c>
      <c r="E41" s="63">
        <v>3151</v>
      </c>
      <c r="F41" s="66">
        <v>30</v>
      </c>
      <c r="G41" s="63">
        <f t="shared" si="2"/>
        <v>945.3</v>
      </c>
      <c r="H41" s="62"/>
      <c r="I41" s="62"/>
      <c r="J41" s="62"/>
      <c r="K41" s="62"/>
      <c r="L41" s="62">
        <v>65</v>
      </c>
      <c r="M41" s="63">
        <f t="shared" si="3"/>
        <v>2048.15</v>
      </c>
      <c r="N41" s="63">
        <f>(E41+G41+I41+M41)*2</f>
        <v>12288.9</v>
      </c>
    </row>
    <row r="42" spans="1:14" ht="22.5" customHeight="1">
      <c r="A42" s="68"/>
      <c r="B42" s="60" t="s">
        <v>45</v>
      </c>
      <c r="C42" s="77">
        <v>19.75</v>
      </c>
      <c r="D42" s="62"/>
      <c r="E42" s="63"/>
      <c r="F42" s="66"/>
      <c r="G42" s="62"/>
      <c r="H42" s="62"/>
      <c r="I42" s="62"/>
      <c r="J42" s="62"/>
      <c r="K42" s="62"/>
      <c r="L42" s="62"/>
      <c r="M42" s="62"/>
      <c r="N42" s="70">
        <f>SUM(N32:N41)</f>
        <v>152766.375</v>
      </c>
    </row>
    <row r="43" spans="1:14" ht="19.5" customHeight="1">
      <c r="A43" s="113" t="s">
        <v>79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5"/>
    </row>
    <row r="44" spans="1:14" ht="28.5" customHeight="1">
      <c r="A44" s="68" t="s">
        <v>80</v>
      </c>
      <c r="B44" s="60" t="s">
        <v>48</v>
      </c>
      <c r="C44" s="69">
        <v>1</v>
      </c>
      <c r="D44" s="62">
        <v>12</v>
      </c>
      <c r="E44" s="63">
        <v>5660</v>
      </c>
      <c r="F44" s="66">
        <v>40</v>
      </c>
      <c r="G44" s="63">
        <f>E44*F44%</f>
        <v>2264</v>
      </c>
      <c r="H44" s="62"/>
      <c r="I44" s="62"/>
      <c r="J44" s="62"/>
      <c r="K44" s="62"/>
      <c r="L44" s="62">
        <v>100</v>
      </c>
      <c r="M44" s="63">
        <f>E44*L44%</f>
        <v>5660</v>
      </c>
      <c r="N44" s="63">
        <f>E44+G44+M44</f>
        <v>13584</v>
      </c>
    </row>
    <row r="45" spans="1:14" ht="27" customHeight="1">
      <c r="A45" s="68" t="s">
        <v>81</v>
      </c>
      <c r="B45" s="60" t="s">
        <v>82</v>
      </c>
      <c r="C45" s="69">
        <v>1</v>
      </c>
      <c r="D45" s="62">
        <v>8</v>
      </c>
      <c r="E45" s="63">
        <v>4379</v>
      </c>
      <c r="F45" s="66">
        <v>30</v>
      </c>
      <c r="G45" s="63">
        <f>E45*F45%</f>
        <v>1313.7</v>
      </c>
      <c r="H45" s="63" t="s">
        <v>33</v>
      </c>
      <c r="I45" s="63">
        <f>E45*15%</f>
        <v>656.85</v>
      </c>
      <c r="J45" s="62">
        <v>10</v>
      </c>
      <c r="K45" s="63">
        <f t="shared" ref="K45" si="5">E45*J45%</f>
        <v>437.9</v>
      </c>
      <c r="L45" s="62">
        <v>50</v>
      </c>
      <c r="M45" s="63">
        <f>E45*L45%</f>
        <v>2189.5</v>
      </c>
      <c r="N45" s="63">
        <f>E45+G45+M45+K45+I45</f>
        <v>8976.9500000000007</v>
      </c>
    </row>
    <row r="46" spans="1:14" ht="55.5" customHeight="1">
      <c r="A46" s="68" t="s">
        <v>83</v>
      </c>
      <c r="B46" s="60" t="s">
        <v>84</v>
      </c>
      <c r="C46" s="69">
        <v>1</v>
      </c>
      <c r="D46" s="62">
        <v>5</v>
      </c>
      <c r="E46" s="63">
        <v>3631</v>
      </c>
      <c r="F46" s="66">
        <v>30</v>
      </c>
      <c r="G46" s="63">
        <f>E46*F46%</f>
        <v>1089.3</v>
      </c>
      <c r="H46" s="62"/>
      <c r="I46" s="62"/>
      <c r="J46" s="62"/>
      <c r="K46" s="62"/>
      <c r="L46" s="62">
        <v>50</v>
      </c>
      <c r="M46" s="63">
        <f>E46*L46%</f>
        <v>1815.5</v>
      </c>
      <c r="N46" s="63">
        <f>(E46+G46+I46+M46)</f>
        <v>6535.8</v>
      </c>
    </row>
    <row r="47" spans="1:14" ht="12.75" customHeight="1">
      <c r="A47" s="68" t="s">
        <v>85</v>
      </c>
      <c r="B47" s="60" t="s">
        <v>86</v>
      </c>
      <c r="C47" s="69">
        <v>1</v>
      </c>
      <c r="D47" s="62">
        <v>6</v>
      </c>
      <c r="E47" s="63">
        <v>3872</v>
      </c>
      <c r="F47" s="66">
        <v>30</v>
      </c>
      <c r="G47" s="63">
        <f>E47*F47%</f>
        <v>1161.5999999999999</v>
      </c>
      <c r="H47" s="62">
        <v>0</v>
      </c>
      <c r="I47" s="63">
        <v>0</v>
      </c>
      <c r="J47" s="62">
        <v>0</v>
      </c>
      <c r="K47" s="62">
        <v>0</v>
      </c>
      <c r="L47" s="62">
        <v>50</v>
      </c>
      <c r="M47" s="63">
        <f>E47*L47%</f>
        <v>1936</v>
      </c>
      <c r="N47" s="78">
        <f>(E47+G47+I47+M47)</f>
        <v>6969.6</v>
      </c>
    </row>
    <row r="48" spans="1:14" ht="12.75" customHeight="1">
      <c r="A48" s="68"/>
      <c r="B48" s="60" t="s">
        <v>45</v>
      </c>
      <c r="C48" s="69">
        <v>4</v>
      </c>
      <c r="D48" s="62"/>
      <c r="E48" s="63"/>
      <c r="F48" s="66"/>
      <c r="G48" s="62"/>
      <c r="H48" s="62"/>
      <c r="I48" s="62"/>
      <c r="J48" s="62"/>
      <c r="K48" s="62"/>
      <c r="L48" s="62"/>
      <c r="M48" s="62"/>
      <c r="N48" s="70">
        <f>SUM(N44:N47)</f>
        <v>36066.35</v>
      </c>
    </row>
    <row r="49" spans="1:14" ht="16.5" customHeight="1">
      <c r="A49" s="113" t="s">
        <v>87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5"/>
    </row>
    <row r="50" spans="1:14" ht="26.4">
      <c r="A50" s="68" t="s">
        <v>88</v>
      </c>
      <c r="B50" s="60" t="s">
        <v>48</v>
      </c>
      <c r="C50" s="69">
        <v>1</v>
      </c>
      <c r="D50" s="62">
        <v>15</v>
      </c>
      <c r="E50" s="63">
        <v>6889</v>
      </c>
      <c r="F50" s="66">
        <v>40</v>
      </c>
      <c r="G50" s="63">
        <f>E50*F50%</f>
        <v>2755.6</v>
      </c>
      <c r="H50" s="62"/>
      <c r="I50" s="62"/>
      <c r="J50" s="62">
        <v>10</v>
      </c>
      <c r="K50" s="63">
        <f>E50*J50%</f>
        <v>688.9</v>
      </c>
      <c r="L50" s="62">
        <v>100</v>
      </c>
      <c r="M50" s="63">
        <f>E50*L50%</f>
        <v>6889</v>
      </c>
      <c r="N50" s="63">
        <f>E50+G50+K50+M50</f>
        <v>17222.5</v>
      </c>
    </row>
    <row r="51" spans="1:14" ht="45.75" customHeight="1">
      <c r="A51" s="68" t="s">
        <v>89</v>
      </c>
      <c r="B51" s="60" t="s">
        <v>90</v>
      </c>
      <c r="C51" s="69">
        <v>2</v>
      </c>
      <c r="D51" s="62">
        <v>13</v>
      </c>
      <c r="E51" s="63">
        <v>6061</v>
      </c>
      <c r="F51" s="66">
        <v>40</v>
      </c>
      <c r="G51" s="63">
        <f>E51*F51%</f>
        <v>2424.4</v>
      </c>
      <c r="H51" s="62"/>
      <c r="I51" s="62"/>
      <c r="J51" s="62">
        <v>10</v>
      </c>
      <c r="K51" s="63">
        <f>E51*J51%</f>
        <v>606.1</v>
      </c>
      <c r="L51" s="62">
        <v>100</v>
      </c>
      <c r="M51" s="63">
        <f>E51*L51%</f>
        <v>6061</v>
      </c>
      <c r="N51" s="63">
        <f>(E51+G51+K51+M51)*2</f>
        <v>30305</v>
      </c>
    </row>
    <row r="52" spans="1:14" ht="36" customHeight="1">
      <c r="A52" s="68" t="s">
        <v>91</v>
      </c>
      <c r="B52" s="60" t="s">
        <v>92</v>
      </c>
      <c r="C52" s="69">
        <v>1</v>
      </c>
      <c r="D52" s="62">
        <v>7</v>
      </c>
      <c r="E52" s="63">
        <v>4112</v>
      </c>
      <c r="F52" s="66">
        <v>30</v>
      </c>
      <c r="G52" s="63">
        <f>E52*30%</f>
        <v>1233.5999999999999</v>
      </c>
      <c r="H52" s="63"/>
      <c r="I52" s="63"/>
      <c r="J52" s="62">
        <v>0</v>
      </c>
      <c r="K52" s="63">
        <f t="shared" ref="K52:K54" si="6">E52*J52%</f>
        <v>0</v>
      </c>
      <c r="L52" s="62">
        <v>100</v>
      </c>
      <c r="M52" s="63">
        <f>E52*L52%</f>
        <v>4112</v>
      </c>
      <c r="N52" s="63">
        <f>E52+G52+M52+K52</f>
        <v>9457.6</v>
      </c>
    </row>
    <row r="53" spans="1:14" ht="51.75" customHeight="1">
      <c r="A53" s="68" t="s">
        <v>93</v>
      </c>
      <c r="B53" s="60" t="s">
        <v>94</v>
      </c>
      <c r="C53" s="69">
        <v>8</v>
      </c>
      <c r="D53" s="62">
        <v>12</v>
      </c>
      <c r="E53" s="63">
        <v>5660</v>
      </c>
      <c r="F53" s="66">
        <v>40</v>
      </c>
      <c r="G53" s="63">
        <f>E53*40%</f>
        <v>2264</v>
      </c>
      <c r="H53" s="62" t="s">
        <v>33</v>
      </c>
      <c r="I53" s="63">
        <f t="shared" ref="I53:I54" si="7">E53*15%</f>
        <v>849</v>
      </c>
      <c r="J53" s="62">
        <v>20</v>
      </c>
      <c r="K53" s="63">
        <f t="shared" si="6"/>
        <v>1132</v>
      </c>
      <c r="L53" s="62">
        <v>100</v>
      </c>
      <c r="M53" s="63">
        <f>E53*L53%</f>
        <v>5660</v>
      </c>
      <c r="N53" s="63">
        <f>(E53+G53+M53+K53+I53)*8</f>
        <v>124520</v>
      </c>
    </row>
    <row r="54" spans="1:14" ht="45.75" customHeight="1">
      <c r="A54" s="68" t="s">
        <v>95</v>
      </c>
      <c r="B54" s="60" t="s">
        <v>32</v>
      </c>
      <c r="C54" s="69">
        <v>10</v>
      </c>
      <c r="D54" s="62">
        <v>9</v>
      </c>
      <c r="E54" s="63">
        <v>4619</v>
      </c>
      <c r="F54" s="66">
        <v>40</v>
      </c>
      <c r="G54" s="63">
        <f>E54*40%</f>
        <v>1847.6</v>
      </c>
      <c r="H54" s="62" t="s">
        <v>33</v>
      </c>
      <c r="I54" s="63">
        <f t="shared" si="7"/>
        <v>692.85</v>
      </c>
      <c r="J54" s="62">
        <v>10</v>
      </c>
      <c r="K54" s="63">
        <f t="shared" si="6"/>
        <v>461.9</v>
      </c>
      <c r="L54" s="62">
        <v>100</v>
      </c>
      <c r="M54" s="63">
        <f>E54*L54%</f>
        <v>4619</v>
      </c>
      <c r="N54" s="63">
        <f>(E54+G54+M54+K54+I54)*10</f>
        <v>122403.5</v>
      </c>
    </row>
    <row r="55" spans="1:14" ht="17.25" customHeight="1">
      <c r="A55" s="68"/>
      <c r="B55" s="60" t="s">
        <v>45</v>
      </c>
      <c r="C55" s="69">
        <v>22</v>
      </c>
      <c r="D55" s="62"/>
      <c r="E55" s="63"/>
      <c r="F55" s="66"/>
      <c r="G55" s="62"/>
      <c r="H55" s="62"/>
      <c r="I55" s="62"/>
      <c r="J55" s="62"/>
      <c r="K55" s="62"/>
      <c r="L55" s="62"/>
      <c r="M55" s="62"/>
      <c r="N55" s="70">
        <f>SUM(N50:N54)</f>
        <v>303908.59999999998</v>
      </c>
    </row>
    <row r="56" spans="1:14" ht="15.6">
      <c r="A56" s="119">
        <f>C19+C25+C30+C42+C48+C55</f>
        <v>111.25</v>
      </c>
      <c r="B56" s="117"/>
      <c r="C56" s="118"/>
      <c r="D56" s="79"/>
      <c r="E56" s="80"/>
      <c r="F56" s="81"/>
      <c r="G56" s="82"/>
      <c r="H56" s="82"/>
      <c r="I56" s="82"/>
      <c r="J56" s="83"/>
      <c r="K56" s="82"/>
      <c r="L56" s="83"/>
      <c r="M56" s="82"/>
      <c r="N56" s="80">
        <f>N19+N25+N30+N42+N48+N55</f>
        <v>1087595.2250000001</v>
      </c>
    </row>
    <row r="57" spans="1:14">
      <c r="B57" s="84" t="s">
        <v>106</v>
      </c>
    </row>
    <row r="58" spans="1:14" ht="50.25" customHeight="1"/>
    <row r="59" spans="1:14" ht="38.25" customHeight="1">
      <c r="B59" s="85"/>
      <c r="C59" s="48"/>
      <c r="D59" s="45"/>
      <c r="E59" s="86"/>
      <c r="F59" s="85"/>
      <c r="G59" s="48"/>
      <c r="H59" s="48"/>
      <c r="I59" s="48"/>
      <c r="J59" s="48"/>
    </row>
    <row r="60" spans="1:14" ht="15.6">
      <c r="B60" s="85"/>
      <c r="C60" s="48"/>
      <c r="D60" s="45"/>
      <c r="E60" s="86"/>
      <c r="F60" s="85"/>
      <c r="G60" s="48"/>
      <c r="H60" s="48"/>
      <c r="I60" s="48"/>
      <c r="J60" s="48"/>
    </row>
    <row r="61" spans="1:14" ht="15.6">
      <c r="B61" s="85"/>
      <c r="C61" s="48"/>
      <c r="D61" s="45"/>
      <c r="E61" s="86"/>
      <c r="F61" s="85"/>
      <c r="G61" s="48"/>
      <c r="H61" s="48"/>
      <c r="I61" s="48"/>
      <c r="J61" s="48"/>
    </row>
    <row r="62" spans="1:14" ht="15.6">
      <c r="B62" s="47"/>
      <c r="C62" s="48"/>
      <c r="D62" s="45"/>
      <c r="E62" s="87"/>
      <c r="F62" s="85"/>
      <c r="G62" s="48"/>
      <c r="H62" s="48"/>
      <c r="I62" s="48"/>
      <c r="J62" s="48"/>
    </row>
    <row r="63" spans="1:14" ht="15.6">
      <c r="B63" s="47"/>
      <c r="C63" s="48"/>
      <c r="D63" s="45"/>
      <c r="E63" s="87"/>
      <c r="F63" s="47"/>
      <c r="G63" s="48"/>
      <c r="H63" s="48"/>
      <c r="I63" s="48"/>
      <c r="J63" s="48"/>
    </row>
    <row r="64" spans="1:14" ht="15.6">
      <c r="D64" s="45"/>
      <c r="E64" s="46"/>
      <c r="F64" s="47"/>
      <c r="G64" s="48"/>
      <c r="H64" s="48"/>
      <c r="I64" s="48"/>
      <c r="J64" s="48"/>
    </row>
    <row r="65" spans="2:15" ht="15.6">
      <c r="B65" s="47"/>
      <c r="C65" s="48"/>
      <c r="D65" s="45"/>
      <c r="E65" s="46"/>
      <c r="F65" s="47"/>
      <c r="G65" s="49"/>
      <c r="H65" s="49"/>
      <c r="I65" s="49"/>
      <c r="J65" s="48"/>
    </row>
    <row r="66" spans="2:15" ht="15.75" customHeight="1"/>
    <row r="70" spans="2:15">
      <c r="O70" s="50"/>
    </row>
  </sheetData>
  <mergeCells count="12">
    <mergeCell ref="A56:C56"/>
    <mergeCell ref="A21:N21"/>
    <mergeCell ref="A26:N26"/>
    <mergeCell ref="A31:N31"/>
    <mergeCell ref="A43:N43"/>
    <mergeCell ref="A49:N49"/>
    <mergeCell ref="A1:N1"/>
    <mergeCell ref="A2:N2"/>
    <mergeCell ref="F4:G4"/>
    <mergeCell ref="H4:I4"/>
    <mergeCell ref="J4:K4"/>
    <mergeCell ref="L4:M4"/>
  </mergeCells>
  <pageMargins left="0.7" right="0.7" top="0.75" bottom="0.75" header="0.3" footer="0.3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3"/>
  <sheetViews>
    <sheetView tabSelected="1" topLeftCell="A29" workbookViewId="0">
      <selection activeCell="B35" sqref="B35"/>
    </sheetView>
  </sheetViews>
  <sheetFormatPr defaultColWidth="9" defaultRowHeight="13.2"/>
  <cols>
    <col min="1" max="1" width="2.88671875" customWidth="1"/>
    <col min="2" max="2" width="15.88671875" customWidth="1"/>
    <col min="3" max="3" width="5.5546875" customWidth="1"/>
    <col min="4" max="4" width="8.33203125" customWidth="1"/>
    <col min="5" max="5" width="12" customWidth="1"/>
    <col min="6" max="6" width="6.109375" customWidth="1"/>
    <col min="7" max="8" width="11.5546875" customWidth="1"/>
    <col min="9" max="9" width="10.6640625" customWidth="1"/>
    <col min="10" max="10" width="7" customWidth="1"/>
    <col min="11" max="11" width="10.6640625" customWidth="1"/>
    <col min="12" max="12" width="5.33203125" customWidth="1"/>
    <col min="13" max="13" width="10.88671875" customWidth="1"/>
    <col min="14" max="14" width="15" customWidth="1"/>
    <col min="15" max="15" width="11.6640625" customWidth="1"/>
    <col min="16" max="17" width="9.77734375"/>
    <col min="18" max="18" width="12"/>
  </cols>
  <sheetData>
    <row r="1" spans="1:17" s="1" customFormat="1">
      <c r="A1" s="88" t="s">
        <v>108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" s="1" customFormat="1" ht="18" customHeight="1">
      <c r="A2" s="89" t="s">
        <v>109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7" s="1" customFormat="1" ht="13.8">
      <c r="A3" s="2"/>
      <c r="B3" s="3"/>
      <c r="C3" s="3"/>
      <c r="D3" s="3"/>
      <c r="E3" s="3"/>
      <c r="F3" s="3"/>
      <c r="G3" s="3" t="s">
        <v>1</v>
      </c>
      <c r="H3" s="3"/>
      <c r="I3" s="3"/>
      <c r="J3" s="3"/>
      <c r="K3" s="3"/>
      <c r="L3" s="3"/>
      <c r="M3" s="3"/>
      <c r="N3" s="3"/>
    </row>
    <row r="4" spans="1:17" ht="32.25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91" t="s">
        <v>7</v>
      </c>
      <c r="G4" s="92"/>
      <c r="H4" s="91" t="s">
        <v>8</v>
      </c>
      <c r="I4" s="92"/>
      <c r="J4" s="91" t="s">
        <v>9</v>
      </c>
      <c r="K4" s="92"/>
      <c r="L4" s="91" t="s">
        <v>10</v>
      </c>
      <c r="M4" s="92"/>
      <c r="N4" s="7" t="s">
        <v>11</v>
      </c>
    </row>
    <row r="5" spans="1:17">
      <c r="A5" s="4"/>
      <c r="B5" s="5"/>
      <c r="C5" s="5"/>
      <c r="D5" s="5"/>
      <c r="E5" s="5" t="s">
        <v>12</v>
      </c>
      <c r="F5" s="6" t="s">
        <v>13</v>
      </c>
      <c r="G5" s="5" t="s">
        <v>12</v>
      </c>
      <c r="H5" s="6" t="s">
        <v>13</v>
      </c>
      <c r="I5" s="5" t="s">
        <v>12</v>
      </c>
      <c r="J5" s="5" t="s">
        <v>13</v>
      </c>
      <c r="K5" s="5" t="s">
        <v>12</v>
      </c>
      <c r="L5" s="5" t="s">
        <v>13</v>
      </c>
      <c r="M5" s="5" t="s">
        <v>12</v>
      </c>
      <c r="N5" s="7" t="s">
        <v>12</v>
      </c>
    </row>
    <row r="6" spans="1:17" ht="18.75" customHeight="1">
      <c r="A6" s="8" t="s">
        <v>14</v>
      </c>
      <c r="B6" s="9" t="s">
        <v>15</v>
      </c>
      <c r="C6" s="10">
        <v>1</v>
      </c>
      <c r="D6" s="11">
        <v>18</v>
      </c>
      <c r="E6" s="12">
        <v>27847</v>
      </c>
      <c r="F6" s="11">
        <v>50</v>
      </c>
      <c r="G6" s="13">
        <f>E6*50%</f>
        <v>13923.5</v>
      </c>
      <c r="H6" s="13"/>
      <c r="I6" s="13"/>
      <c r="J6" s="14">
        <v>10</v>
      </c>
      <c r="K6" s="13">
        <v>2784.7</v>
      </c>
      <c r="L6" s="14"/>
      <c r="M6" s="13"/>
      <c r="N6" s="12">
        <f>E6+G6+M6+K6</f>
        <v>44555.199999999997</v>
      </c>
      <c r="O6" s="15"/>
      <c r="P6" s="15"/>
    </row>
    <row r="7" spans="1:17" ht="29.25" customHeight="1">
      <c r="A7" s="8" t="s">
        <v>16</v>
      </c>
      <c r="B7" s="9" t="s">
        <v>17</v>
      </c>
      <c r="C7" s="10">
        <v>1</v>
      </c>
      <c r="D7" s="8" t="s">
        <v>18</v>
      </c>
      <c r="E7" s="12">
        <v>26454</v>
      </c>
      <c r="F7" s="11">
        <v>20</v>
      </c>
      <c r="G7" s="13">
        <f>E7*20%</f>
        <v>5290.8</v>
      </c>
      <c r="H7" s="13"/>
      <c r="I7" s="13"/>
      <c r="J7" s="14">
        <v>10</v>
      </c>
      <c r="K7" s="13">
        <v>2645.4</v>
      </c>
      <c r="L7" s="14"/>
      <c r="M7" s="13"/>
      <c r="N7" s="12">
        <f>K7+G7+E7</f>
        <v>34390.199999999997</v>
      </c>
    </row>
    <row r="8" spans="1:17" ht="29.25" customHeight="1">
      <c r="A8" s="8" t="s">
        <v>19</v>
      </c>
      <c r="B8" s="9" t="s">
        <v>20</v>
      </c>
      <c r="C8" s="10">
        <v>1</v>
      </c>
      <c r="D8" s="16" t="s">
        <v>110</v>
      </c>
      <c r="E8" s="12">
        <v>23809</v>
      </c>
      <c r="F8" s="11">
        <v>35</v>
      </c>
      <c r="G8" s="13">
        <f>E8*35%</f>
        <v>8333.15</v>
      </c>
      <c r="H8" s="13"/>
      <c r="I8" s="13"/>
      <c r="J8" s="14"/>
      <c r="K8" s="14"/>
      <c r="L8" s="14"/>
      <c r="M8" s="13"/>
      <c r="N8" s="12">
        <f>E8+G8+K8+M8</f>
        <v>32142.15</v>
      </c>
    </row>
    <row r="9" spans="1:17" ht="27.75" customHeight="1">
      <c r="A9" s="8" t="s">
        <v>22</v>
      </c>
      <c r="B9" s="9" t="s">
        <v>23</v>
      </c>
      <c r="C9" s="10">
        <v>2</v>
      </c>
      <c r="D9" s="16" t="s">
        <v>111</v>
      </c>
      <c r="E9" s="12">
        <v>40476</v>
      </c>
      <c r="F9" s="11">
        <v>35</v>
      </c>
      <c r="G9" s="13">
        <f>E9*35%</f>
        <v>14166.6</v>
      </c>
      <c r="H9" s="12"/>
      <c r="I9" s="12"/>
      <c r="J9" s="11"/>
      <c r="K9" s="11"/>
      <c r="L9" s="11"/>
      <c r="M9" s="12"/>
      <c r="N9" s="12">
        <f>E9+G9+K9+M9</f>
        <v>54642.6</v>
      </c>
      <c r="O9" s="15"/>
      <c r="P9" s="15"/>
      <c r="Q9" s="15"/>
    </row>
    <row r="10" spans="1:17" ht="30.75" customHeight="1">
      <c r="A10" s="8" t="s">
        <v>25</v>
      </c>
      <c r="B10" s="9" t="s">
        <v>26</v>
      </c>
      <c r="C10" s="10">
        <v>1</v>
      </c>
      <c r="D10" s="11">
        <v>9</v>
      </c>
      <c r="E10" s="12">
        <v>15007</v>
      </c>
      <c r="F10" s="17"/>
      <c r="G10" s="12"/>
      <c r="H10" s="12"/>
      <c r="I10" s="12"/>
      <c r="J10" s="11"/>
      <c r="K10" s="11"/>
      <c r="L10" s="11"/>
      <c r="M10" s="12"/>
      <c r="N10" s="12">
        <f>E10+G10+K10+M10</f>
        <v>15007</v>
      </c>
    </row>
    <row r="11" spans="1:17" ht="30.75" customHeight="1">
      <c r="A11" s="8" t="s">
        <v>27</v>
      </c>
      <c r="B11" s="9" t="s">
        <v>28</v>
      </c>
      <c r="C11" s="10">
        <v>0.5</v>
      </c>
      <c r="D11" s="11">
        <v>6</v>
      </c>
      <c r="E11" s="12">
        <f>12580/2</f>
        <v>6290</v>
      </c>
      <c r="F11" s="17"/>
      <c r="G11" s="12"/>
      <c r="H11" s="12"/>
      <c r="I11" s="12"/>
      <c r="J11" s="11"/>
      <c r="K11" s="11"/>
      <c r="L11" s="11"/>
      <c r="M11" s="12"/>
      <c r="N11" s="12">
        <v>6290</v>
      </c>
    </row>
    <row r="12" spans="1:17" ht="24" customHeight="1">
      <c r="A12" s="8" t="s">
        <v>29</v>
      </c>
      <c r="B12" s="9" t="s">
        <v>30</v>
      </c>
      <c r="C12" s="10">
        <v>0.5</v>
      </c>
      <c r="D12" s="11">
        <v>9</v>
      </c>
      <c r="E12" s="12">
        <f>15008/2</f>
        <v>7504</v>
      </c>
      <c r="F12" s="17"/>
      <c r="G12" s="12"/>
      <c r="H12" s="12"/>
      <c r="I12" s="12"/>
      <c r="J12" s="11"/>
      <c r="K12" s="11"/>
      <c r="L12" s="11"/>
      <c r="M12" s="12"/>
      <c r="N12" s="12">
        <v>7504</v>
      </c>
    </row>
    <row r="13" spans="1:17" ht="42.75" customHeight="1">
      <c r="A13" s="8" t="s">
        <v>31</v>
      </c>
      <c r="B13" s="9" t="s">
        <v>32</v>
      </c>
      <c r="C13" s="10">
        <v>1</v>
      </c>
      <c r="D13" s="11">
        <v>10</v>
      </c>
      <c r="E13" s="12">
        <v>15787</v>
      </c>
      <c r="F13" s="17"/>
      <c r="G13" s="12"/>
      <c r="H13" s="12" t="s">
        <v>33</v>
      </c>
      <c r="I13" s="12">
        <f>E13*15%</f>
        <v>2368.0500000000002</v>
      </c>
      <c r="J13" s="11">
        <v>20</v>
      </c>
      <c r="K13" s="12">
        <v>3631.01</v>
      </c>
      <c r="L13" s="11"/>
      <c r="M13" s="12"/>
      <c r="N13" s="12">
        <f>E13+G13+I13+K13+M13</f>
        <v>21786.06</v>
      </c>
    </row>
    <row r="14" spans="1:17" ht="25.5" customHeight="1">
      <c r="A14" s="8" t="s">
        <v>34</v>
      </c>
      <c r="B14" s="18" t="s">
        <v>37</v>
      </c>
      <c r="C14" s="10">
        <v>4</v>
      </c>
      <c r="D14" s="11">
        <v>1</v>
      </c>
      <c r="E14" s="12">
        <v>34700</v>
      </c>
      <c r="F14" s="17">
        <v>50</v>
      </c>
      <c r="G14" s="12">
        <f>E14*50%</f>
        <v>17350</v>
      </c>
      <c r="H14" s="19" t="s">
        <v>38</v>
      </c>
      <c r="I14" s="12">
        <v>4868</v>
      </c>
      <c r="J14" s="11"/>
      <c r="K14" s="11"/>
      <c r="L14" s="11"/>
      <c r="M14" s="12"/>
      <c r="N14" s="12">
        <f>E14+G14+I14+K14+M14</f>
        <v>56918</v>
      </c>
      <c r="O14" s="15"/>
    </row>
    <row r="15" spans="1:17" ht="20.25" customHeight="1">
      <c r="A15" s="8" t="s">
        <v>36</v>
      </c>
      <c r="B15" s="9" t="s">
        <v>40</v>
      </c>
      <c r="C15" s="20">
        <v>1</v>
      </c>
      <c r="D15" s="11">
        <v>4</v>
      </c>
      <c r="E15" s="12">
        <v>11018</v>
      </c>
      <c r="F15" s="17">
        <v>10</v>
      </c>
      <c r="G15" s="12">
        <f>E15*10%</f>
        <v>1101.8</v>
      </c>
      <c r="H15" s="11"/>
      <c r="I15" s="11"/>
      <c r="J15" s="11"/>
      <c r="K15" s="11"/>
      <c r="L15" s="11"/>
      <c r="M15" s="12"/>
      <c r="N15" s="12">
        <f>(E15+G15+M15+K15+I15)</f>
        <v>12119.8</v>
      </c>
    </row>
    <row r="16" spans="1:17" ht="20.25" customHeight="1">
      <c r="A16" s="8" t="s">
        <v>39</v>
      </c>
      <c r="B16" s="9" t="s">
        <v>42</v>
      </c>
      <c r="C16" s="20">
        <v>1</v>
      </c>
      <c r="D16" s="11">
        <v>2</v>
      </c>
      <c r="E16" s="12">
        <v>9455</v>
      </c>
      <c r="F16" s="17"/>
      <c r="G16" s="12"/>
      <c r="H16" s="11" t="s">
        <v>112</v>
      </c>
      <c r="I16" s="12">
        <f>E16*10%</f>
        <v>945.5</v>
      </c>
      <c r="J16" s="11"/>
      <c r="K16" s="11"/>
      <c r="L16" s="11"/>
      <c r="M16" s="12"/>
      <c r="N16" s="12">
        <f>(E16+G16+M16+K16+I16)</f>
        <v>10400.5</v>
      </c>
    </row>
    <row r="17" spans="1:16" ht="28.5" customHeight="1">
      <c r="A17" s="8" t="s">
        <v>41</v>
      </c>
      <c r="B17" s="21" t="s">
        <v>44</v>
      </c>
      <c r="C17" s="22">
        <v>1</v>
      </c>
      <c r="D17" s="23">
        <v>8</v>
      </c>
      <c r="E17" s="24">
        <v>14228</v>
      </c>
      <c r="F17" s="17">
        <v>25</v>
      </c>
      <c r="G17" s="12">
        <f>E17*25%</f>
        <v>3557</v>
      </c>
      <c r="H17" s="11"/>
      <c r="I17" s="11"/>
      <c r="J17" s="11"/>
      <c r="K17" s="11"/>
      <c r="L17" s="11"/>
      <c r="M17" s="12"/>
      <c r="N17" s="12">
        <f>(E17+G17+M17+K17+I17)</f>
        <v>17785</v>
      </c>
    </row>
    <row r="18" spans="1:16" ht="36" customHeight="1">
      <c r="A18" s="8" t="s">
        <v>43</v>
      </c>
      <c r="B18" s="25" t="s">
        <v>113</v>
      </c>
      <c r="C18" s="22">
        <v>1</v>
      </c>
      <c r="D18" s="23">
        <v>8</v>
      </c>
      <c r="E18" s="24">
        <v>14228</v>
      </c>
      <c r="F18" s="17">
        <v>25</v>
      </c>
      <c r="G18" s="12">
        <f>E18*25%</f>
        <v>3557</v>
      </c>
      <c r="H18" s="12"/>
      <c r="I18" s="12"/>
      <c r="J18" s="11"/>
      <c r="K18" s="11"/>
      <c r="L18" s="11"/>
      <c r="M18" s="12"/>
      <c r="N18" s="12">
        <f>(E18+G18+M18+K18+I18)</f>
        <v>17785</v>
      </c>
      <c r="O18" s="15"/>
      <c r="P18" s="15"/>
    </row>
    <row r="19" spans="1:16" ht="20.25" customHeight="1">
      <c r="A19" s="26"/>
      <c r="B19" s="27"/>
      <c r="C19" s="28">
        <f>SUM(C6:C18)</f>
        <v>16</v>
      </c>
      <c r="D19" s="29"/>
      <c r="E19" s="30">
        <f>E18+E17+E16+E15+E14+E13+E12+E11+E10+E9+E8+E7+E6</f>
        <v>246803</v>
      </c>
      <c r="F19" s="17"/>
      <c r="G19" s="12">
        <f>G18+G17+G14+G9+G8+G7+G6</f>
        <v>66178.05</v>
      </c>
      <c r="H19" s="11"/>
      <c r="I19" s="12">
        <f>I16+I14+I13</f>
        <v>8181.55</v>
      </c>
      <c r="J19" s="11"/>
      <c r="K19" s="12">
        <f>K13+K7+K6</f>
        <v>9061.11</v>
      </c>
      <c r="L19" s="11"/>
      <c r="M19" s="12"/>
      <c r="N19" s="31">
        <f>M19+K19+I19+G19+E19</f>
        <v>330223.71000000002</v>
      </c>
      <c r="O19" s="15"/>
    </row>
    <row r="20" spans="1:16" ht="20.25" customHeight="1">
      <c r="A20" s="26"/>
      <c r="B20" s="32"/>
      <c r="C20" s="33"/>
      <c r="D20" s="34"/>
      <c r="E20" s="35"/>
      <c r="F20" s="36"/>
      <c r="G20" s="36"/>
      <c r="H20" s="36"/>
      <c r="I20" s="36"/>
      <c r="J20" s="36"/>
      <c r="K20" s="36"/>
      <c r="L20" s="36"/>
      <c r="M20" s="36"/>
      <c r="N20" s="37"/>
    </row>
    <row r="21" spans="1:16" ht="20.25" customHeight="1">
      <c r="A21" s="93" t="s">
        <v>114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</row>
    <row r="22" spans="1:16" ht="27.75" customHeight="1">
      <c r="A22" s="26" t="s">
        <v>47</v>
      </c>
      <c r="B22" s="9" t="s">
        <v>48</v>
      </c>
      <c r="C22" s="20">
        <v>1</v>
      </c>
      <c r="D22" s="11">
        <v>15</v>
      </c>
      <c r="E22" s="12">
        <v>22382</v>
      </c>
      <c r="F22" s="17">
        <v>20</v>
      </c>
      <c r="G22" s="12">
        <f>E22*20%</f>
        <v>4476.3999999999996</v>
      </c>
      <c r="H22" s="11"/>
      <c r="I22" s="11"/>
      <c r="J22" s="11">
        <v>30</v>
      </c>
      <c r="K22" s="12">
        <f>E22*J22%</f>
        <v>6714.6</v>
      </c>
      <c r="L22" s="11"/>
      <c r="M22" s="12"/>
      <c r="N22" s="12">
        <f>E22+G22+K22+M22</f>
        <v>33573</v>
      </c>
      <c r="O22" s="15"/>
      <c r="P22" s="15"/>
    </row>
    <row r="23" spans="1:16" ht="79.5" customHeight="1">
      <c r="A23" s="26" t="s">
        <v>49</v>
      </c>
      <c r="B23" s="9" t="s">
        <v>115</v>
      </c>
      <c r="C23" s="20">
        <v>3</v>
      </c>
      <c r="D23" s="11">
        <v>9</v>
      </c>
      <c r="E23" s="12">
        <v>45021</v>
      </c>
      <c r="F23" s="17"/>
      <c r="G23" s="12"/>
      <c r="H23" s="12" t="s">
        <v>33</v>
      </c>
      <c r="I23" s="12">
        <f>E23*15%</f>
        <v>6753.15</v>
      </c>
      <c r="J23" s="11">
        <v>20</v>
      </c>
      <c r="K23" s="12">
        <v>10354.83</v>
      </c>
      <c r="L23" s="11"/>
      <c r="M23" s="12"/>
      <c r="N23" s="12">
        <f>(E23+G23+K23+M23+I23)</f>
        <v>62128.98</v>
      </c>
    </row>
    <row r="24" spans="1:16" ht="27.75" customHeight="1">
      <c r="A24" s="26" t="s">
        <v>51</v>
      </c>
      <c r="B24" s="9" t="s">
        <v>52</v>
      </c>
      <c r="C24" s="20">
        <v>31</v>
      </c>
      <c r="D24" s="11">
        <v>6</v>
      </c>
      <c r="E24" s="12">
        <v>389980</v>
      </c>
      <c r="F24" s="17"/>
      <c r="G24" s="12"/>
      <c r="H24" s="38" t="s">
        <v>33</v>
      </c>
      <c r="I24" s="12">
        <f>E24*15%</f>
        <v>58497</v>
      </c>
      <c r="J24" s="11">
        <v>30</v>
      </c>
      <c r="K24" s="12">
        <v>134543.1</v>
      </c>
      <c r="L24" s="11"/>
      <c r="M24" s="12"/>
      <c r="N24" s="12">
        <f>(E24+G24+K24+M24+I24)</f>
        <v>583020.1</v>
      </c>
      <c r="O24" s="15"/>
    </row>
    <row r="25" spans="1:16" ht="27.75" customHeight="1">
      <c r="A25" s="26" t="s">
        <v>54</v>
      </c>
      <c r="B25" s="9" t="s">
        <v>52</v>
      </c>
      <c r="C25" s="20">
        <v>8</v>
      </c>
      <c r="D25" s="11">
        <v>6</v>
      </c>
      <c r="E25" s="12">
        <f>12580*8</f>
        <v>100640</v>
      </c>
      <c r="F25" s="17"/>
      <c r="G25" s="12"/>
      <c r="H25" s="38" t="s">
        <v>116</v>
      </c>
      <c r="I25" s="12">
        <v>40256</v>
      </c>
      <c r="J25" s="11">
        <v>30</v>
      </c>
      <c r="K25" s="12">
        <v>42268.800000000003</v>
      </c>
      <c r="L25" s="11"/>
      <c r="M25" s="12"/>
      <c r="N25" s="12">
        <f>E25+G25+I25+K25+M25</f>
        <v>183164.79999999999</v>
      </c>
      <c r="O25" s="15"/>
    </row>
    <row r="26" spans="1:16" ht="20.25" customHeight="1">
      <c r="A26" s="26"/>
      <c r="B26" s="9" t="s">
        <v>45</v>
      </c>
      <c r="C26" s="20">
        <f>SUM(C22:C25)</f>
        <v>43</v>
      </c>
      <c r="D26" s="11"/>
      <c r="E26" s="12">
        <f>E25+E24+E23+E22</f>
        <v>558023</v>
      </c>
      <c r="F26" s="17"/>
      <c r="G26" s="12">
        <f>G25+G24+G23+G22</f>
        <v>4476.3999999999996</v>
      </c>
      <c r="H26" s="11"/>
      <c r="I26" s="12">
        <f>I25+I24+I23</f>
        <v>105506.15</v>
      </c>
      <c r="J26" s="11"/>
      <c r="K26" s="12">
        <f>K25+K24+K23+K22</f>
        <v>193881.33</v>
      </c>
      <c r="L26" s="11"/>
      <c r="M26" s="12"/>
      <c r="N26" s="31">
        <f>N25+N24+N23+N22</f>
        <v>861886.88</v>
      </c>
      <c r="O26" s="15"/>
    </row>
    <row r="27" spans="1:16" ht="0.75" hidden="1" customHeight="1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</row>
    <row r="28" spans="1:16" ht="27.75" customHeight="1">
      <c r="A28" s="96" t="s">
        <v>59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</row>
    <row r="29" spans="1:16" ht="27.75" customHeight="1">
      <c r="A29" s="26" t="s">
        <v>55</v>
      </c>
      <c r="B29" s="9" t="s">
        <v>48</v>
      </c>
      <c r="C29" s="20">
        <v>1</v>
      </c>
      <c r="D29" s="11">
        <v>15</v>
      </c>
      <c r="E29" s="12">
        <v>22382</v>
      </c>
      <c r="F29" s="17">
        <v>20</v>
      </c>
      <c r="G29" s="12">
        <f>E29*20%</f>
        <v>4476.3999999999996</v>
      </c>
      <c r="H29" s="11"/>
      <c r="I29" s="11"/>
      <c r="J29" s="11">
        <v>10</v>
      </c>
      <c r="K29" s="12">
        <f>E29*J29%</f>
        <v>2238.1999999999998</v>
      </c>
      <c r="L29" s="11"/>
      <c r="M29" s="12"/>
      <c r="N29" s="12">
        <f>E29+G29+K29+M29</f>
        <v>29096.6</v>
      </c>
    </row>
    <row r="30" spans="1:16" ht="27.75" customHeight="1">
      <c r="A30" s="26" t="s">
        <v>57</v>
      </c>
      <c r="B30" s="9" t="s">
        <v>62</v>
      </c>
      <c r="C30" s="20">
        <v>1</v>
      </c>
      <c r="D30" s="11">
        <v>4</v>
      </c>
      <c r="E30" s="12">
        <v>11018</v>
      </c>
      <c r="F30" s="17"/>
      <c r="G30" s="12"/>
      <c r="H30" s="11" t="s">
        <v>33</v>
      </c>
      <c r="I30" s="12">
        <f>E30*15%</f>
        <v>1652.7</v>
      </c>
      <c r="J30" s="11" t="s">
        <v>117</v>
      </c>
      <c r="K30" s="12">
        <v>2203.6</v>
      </c>
      <c r="L30" s="11"/>
      <c r="M30" s="12"/>
      <c r="N30" s="12">
        <f>M30+K30+I30+G30+E30</f>
        <v>14874.3</v>
      </c>
    </row>
    <row r="31" spans="1:16" ht="27.75" customHeight="1">
      <c r="A31" s="26" t="s">
        <v>60</v>
      </c>
      <c r="B31" s="9" t="s">
        <v>66</v>
      </c>
      <c r="C31" s="20">
        <v>4.75</v>
      </c>
      <c r="D31" s="11">
        <v>6</v>
      </c>
      <c r="E31" s="12">
        <f>12580*4.75</f>
        <v>59755</v>
      </c>
      <c r="F31" s="17"/>
      <c r="G31" s="12"/>
      <c r="H31" s="11" t="s">
        <v>33</v>
      </c>
      <c r="I31" s="12">
        <f>E31*15%</f>
        <v>8963.25</v>
      </c>
      <c r="J31" s="11" t="s">
        <v>118</v>
      </c>
      <c r="K31" s="12">
        <v>20615.47</v>
      </c>
      <c r="L31" s="11" t="s">
        <v>119</v>
      </c>
      <c r="M31" s="12">
        <v>8118</v>
      </c>
      <c r="N31" s="12">
        <f>E31+G31+I31+K31+M31</f>
        <v>97451.72</v>
      </c>
      <c r="O31" s="15"/>
    </row>
    <row r="32" spans="1:16" ht="27.75" customHeight="1">
      <c r="A32" s="26" t="s">
        <v>61</v>
      </c>
      <c r="B32" s="9" t="s">
        <v>68</v>
      </c>
      <c r="C32" s="20">
        <v>3</v>
      </c>
      <c r="D32" s="11">
        <v>3</v>
      </c>
      <c r="E32" s="12">
        <f>10237*3</f>
        <v>30711</v>
      </c>
      <c r="F32" s="17">
        <v>10</v>
      </c>
      <c r="G32" s="12">
        <f>(E32+I32+K32)*10%</f>
        <v>4145.9849999999997</v>
      </c>
      <c r="H32" s="11" t="s">
        <v>33</v>
      </c>
      <c r="I32" s="12">
        <f>E32*15%</f>
        <v>4606.6499999999996</v>
      </c>
      <c r="J32" s="11" t="s">
        <v>120</v>
      </c>
      <c r="K32" s="12">
        <f>E32*20%</f>
        <v>6142.2</v>
      </c>
      <c r="L32" s="11"/>
      <c r="M32" s="12"/>
      <c r="N32" s="12">
        <f>E32+G32+I32+K32+M32</f>
        <v>45605.834999999999</v>
      </c>
    </row>
    <row r="33" spans="1:15" ht="27.75" customHeight="1">
      <c r="A33" s="26" t="s">
        <v>63</v>
      </c>
      <c r="B33" s="9" t="s">
        <v>70</v>
      </c>
      <c r="C33" s="20">
        <v>2</v>
      </c>
      <c r="D33" s="11">
        <v>3</v>
      </c>
      <c r="E33" s="12">
        <v>20474</v>
      </c>
      <c r="F33" s="17">
        <v>10</v>
      </c>
      <c r="G33" s="12">
        <f>(E33+I33+K33)*10%</f>
        <v>2763.99</v>
      </c>
      <c r="H33" s="11" t="s">
        <v>33</v>
      </c>
      <c r="I33" s="12">
        <f>E33*15%</f>
        <v>3071.1</v>
      </c>
      <c r="J33" s="11" t="s">
        <v>120</v>
      </c>
      <c r="K33" s="12">
        <v>4094.8</v>
      </c>
      <c r="L33" s="11"/>
      <c r="M33" s="12"/>
      <c r="N33" s="12">
        <f>(E33+G33+I33+M33+K33)</f>
        <v>30403.89</v>
      </c>
    </row>
    <row r="34" spans="1:15" ht="19.5" customHeight="1">
      <c r="A34" s="26" t="s">
        <v>65</v>
      </c>
      <c r="B34" s="9" t="s">
        <v>76</v>
      </c>
      <c r="C34" s="20">
        <v>2</v>
      </c>
      <c r="D34" s="11">
        <v>5</v>
      </c>
      <c r="E34" s="12">
        <v>23594</v>
      </c>
      <c r="F34" s="17">
        <v>20</v>
      </c>
      <c r="G34" s="12">
        <f>E34*20%</f>
        <v>4718.8</v>
      </c>
      <c r="H34" s="11" t="s">
        <v>121</v>
      </c>
      <c r="I34" s="12">
        <f>E34*12%</f>
        <v>2831.28</v>
      </c>
      <c r="J34" s="11"/>
      <c r="K34" s="12"/>
      <c r="L34" s="11"/>
      <c r="M34" s="12"/>
      <c r="N34" s="12">
        <f>M34+K34+I34+G34+E34</f>
        <v>31144.080000000002</v>
      </c>
    </row>
    <row r="35" spans="1:15" ht="27" customHeight="1">
      <c r="A35" s="26" t="s">
        <v>67</v>
      </c>
      <c r="B35" s="9" t="s">
        <v>129</v>
      </c>
      <c r="C35" s="20">
        <v>2</v>
      </c>
      <c r="D35" s="11">
        <v>3</v>
      </c>
      <c r="E35" s="12">
        <v>20474</v>
      </c>
      <c r="F35" s="17">
        <v>25</v>
      </c>
      <c r="G35" s="12">
        <f>E35*25%</f>
        <v>5118.5</v>
      </c>
      <c r="H35" s="11"/>
      <c r="I35" s="11"/>
      <c r="J35" s="11"/>
      <c r="K35" s="12"/>
      <c r="L35" s="11"/>
      <c r="M35" s="12"/>
      <c r="N35" s="12">
        <f>E35+G35+K35+M35</f>
        <v>25592.5</v>
      </c>
    </row>
    <row r="36" spans="1:15" ht="22.5" customHeight="1">
      <c r="A36" s="26"/>
      <c r="B36" s="9" t="s">
        <v>45</v>
      </c>
      <c r="C36" s="39">
        <f>C35+C34+C33+C32+C31+C30+C29</f>
        <v>15.75</v>
      </c>
      <c r="D36" s="11"/>
      <c r="E36" s="12">
        <f>E35+E34+E33+E32+E31+E30+E29</f>
        <v>188408</v>
      </c>
      <c r="F36" s="17"/>
      <c r="G36" s="12">
        <f>G35+G34+G33+G32+G31+G30+G29</f>
        <v>21223.674999999999</v>
      </c>
      <c r="H36" s="11"/>
      <c r="I36" s="12">
        <f>I34+I33+I32+I31+I30</f>
        <v>21124.98</v>
      </c>
      <c r="J36" s="11"/>
      <c r="K36" s="12">
        <f>K33+K32+K31+K30+K29</f>
        <v>35294.269999999997</v>
      </c>
      <c r="L36" s="11"/>
      <c r="M36" s="12">
        <f>M35+M34+M33+M32+M31+M30+M29</f>
        <v>8118</v>
      </c>
      <c r="N36" s="31">
        <f>N35+N34+N33+N32+N31+N30+N29</f>
        <v>274168.92499999999</v>
      </c>
      <c r="O36" s="15"/>
    </row>
    <row r="37" spans="1:15" ht="16.5" customHeight="1">
      <c r="A37" s="96" t="s">
        <v>87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</row>
    <row r="38" spans="1:15" ht="26.4">
      <c r="A38" s="26" t="s">
        <v>69</v>
      </c>
      <c r="B38" s="9" t="s">
        <v>48</v>
      </c>
      <c r="C38" s="20">
        <v>1</v>
      </c>
      <c r="D38" s="11">
        <v>15</v>
      </c>
      <c r="E38" s="12">
        <v>22382</v>
      </c>
      <c r="F38" s="17">
        <v>20</v>
      </c>
      <c r="G38" s="12">
        <f>E38*20%</f>
        <v>4476.3999999999996</v>
      </c>
      <c r="H38" s="11"/>
      <c r="I38" s="11"/>
      <c r="J38" s="11">
        <v>20</v>
      </c>
      <c r="K38" s="12">
        <f>E38*J38%</f>
        <v>4476.3999999999996</v>
      </c>
      <c r="L38" s="11"/>
      <c r="M38" s="12"/>
      <c r="N38" s="12">
        <f>E38+G38+K38+M38</f>
        <v>31334.799999999999</v>
      </c>
    </row>
    <row r="39" spans="1:15" ht="36.75" customHeight="1">
      <c r="A39" s="26" t="s">
        <v>71</v>
      </c>
      <c r="B39" s="9" t="s">
        <v>90</v>
      </c>
      <c r="C39" s="20">
        <v>2</v>
      </c>
      <c r="D39" s="11">
        <v>13</v>
      </c>
      <c r="E39" s="12">
        <f>19692*2</f>
        <v>39384</v>
      </c>
      <c r="F39" s="17"/>
      <c r="G39" s="12"/>
      <c r="H39" s="11" t="s">
        <v>33</v>
      </c>
      <c r="I39" s="12">
        <v>5907.6</v>
      </c>
      <c r="J39" s="11">
        <v>20</v>
      </c>
      <c r="K39" s="12">
        <v>9058.32</v>
      </c>
      <c r="L39" s="11"/>
      <c r="M39" s="12"/>
      <c r="N39" s="12">
        <f>M39+K39+I39+G39+E39</f>
        <v>54349.919999999998</v>
      </c>
    </row>
    <row r="40" spans="1:15" ht="51.75" customHeight="1">
      <c r="A40" s="26" t="s">
        <v>73</v>
      </c>
      <c r="B40" s="9" t="s">
        <v>122</v>
      </c>
      <c r="C40" s="20">
        <v>7</v>
      </c>
      <c r="D40" s="11">
        <v>12</v>
      </c>
      <c r="E40" s="12">
        <f>18390*7</f>
        <v>128730</v>
      </c>
      <c r="F40" s="17"/>
      <c r="G40" s="12"/>
      <c r="H40" s="11" t="s">
        <v>33</v>
      </c>
      <c r="I40" s="12">
        <f>E40*15%</f>
        <v>19309.5</v>
      </c>
      <c r="J40" s="11">
        <v>20</v>
      </c>
      <c r="K40" s="12">
        <v>29607.9</v>
      </c>
      <c r="L40" s="11"/>
      <c r="M40" s="12"/>
      <c r="N40" s="12">
        <f>(E40+G40+M40+K40+I40)</f>
        <v>177647.4</v>
      </c>
    </row>
    <row r="41" spans="1:15" ht="81" customHeight="1">
      <c r="A41" s="26" t="s">
        <v>75</v>
      </c>
      <c r="B41" s="9" t="s">
        <v>123</v>
      </c>
      <c r="C41" s="20">
        <v>1</v>
      </c>
      <c r="D41" s="11">
        <v>9</v>
      </c>
      <c r="E41" s="12">
        <v>25000</v>
      </c>
      <c r="F41" s="17"/>
      <c r="G41" s="12"/>
      <c r="H41" s="11"/>
      <c r="I41" s="12"/>
      <c r="J41" s="11"/>
      <c r="K41" s="12"/>
      <c r="L41" s="11"/>
      <c r="M41" s="12"/>
      <c r="N41" s="12">
        <f>K41+I41+E41</f>
        <v>25000</v>
      </c>
    </row>
    <row r="42" spans="1:15" ht="21" customHeight="1">
      <c r="A42" s="26"/>
      <c r="B42" s="9" t="s">
        <v>45</v>
      </c>
      <c r="C42" s="20">
        <f>C41+C40+C39+C38</f>
        <v>11</v>
      </c>
      <c r="D42" s="11"/>
      <c r="E42" s="12">
        <f>E41+E40+E39+E38</f>
        <v>215496</v>
      </c>
      <c r="F42" s="17"/>
      <c r="G42" s="12">
        <f>G38</f>
        <v>4476.3999999999996</v>
      </c>
      <c r="H42" s="12"/>
      <c r="I42" s="12">
        <f>I40+I39</f>
        <v>25217.1</v>
      </c>
      <c r="J42" s="12"/>
      <c r="K42" s="12">
        <f>K40+K39+K38</f>
        <v>43142.62</v>
      </c>
      <c r="L42" s="12"/>
      <c r="M42" s="12"/>
      <c r="N42" s="31">
        <f>N41+N40+N39+N38</f>
        <v>288332.12</v>
      </c>
      <c r="O42" s="15"/>
    </row>
    <row r="43" spans="1:15" hidden="1">
      <c r="A43" s="99"/>
      <c r="B43" s="100"/>
      <c r="C43" s="101"/>
      <c r="D43" s="40"/>
      <c r="E43" s="41"/>
      <c r="F43" s="42"/>
      <c r="G43" s="43"/>
      <c r="H43" s="43"/>
      <c r="I43" s="43"/>
      <c r="J43" s="44"/>
      <c r="K43" s="43"/>
      <c r="L43" s="44"/>
      <c r="M43" s="43"/>
      <c r="N43" s="41"/>
      <c r="O43" s="15"/>
    </row>
    <row r="44" spans="1:15" ht="13.5" customHeight="1">
      <c r="A44" s="102" t="s">
        <v>124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</row>
    <row r="45" spans="1:15" ht="28.95" customHeight="1">
      <c r="A45" s="26" t="s">
        <v>77</v>
      </c>
      <c r="B45" s="9" t="s">
        <v>48</v>
      </c>
      <c r="C45" s="20">
        <v>1</v>
      </c>
      <c r="D45" s="11">
        <v>15</v>
      </c>
      <c r="E45" s="12">
        <v>22382</v>
      </c>
      <c r="F45" s="17">
        <v>20</v>
      </c>
      <c r="G45" s="12">
        <f>E45*20%</f>
        <v>4476.3999999999996</v>
      </c>
      <c r="H45" s="11"/>
      <c r="I45" s="11"/>
      <c r="J45" s="11">
        <v>20</v>
      </c>
      <c r="K45" s="12">
        <v>4476.3999999999996</v>
      </c>
      <c r="L45" s="11"/>
      <c r="M45" s="12"/>
      <c r="N45" s="12">
        <f>E45+G45+K45+M45</f>
        <v>31334.799999999999</v>
      </c>
    </row>
    <row r="46" spans="1:15" ht="48.75" customHeight="1">
      <c r="A46" s="26" t="s">
        <v>80</v>
      </c>
      <c r="B46" s="9" t="s">
        <v>94</v>
      </c>
      <c r="C46" s="20">
        <v>2</v>
      </c>
      <c r="D46" s="11">
        <v>12</v>
      </c>
      <c r="E46" s="12">
        <f>18390*2</f>
        <v>36780</v>
      </c>
      <c r="F46" s="17"/>
      <c r="G46" s="12"/>
      <c r="H46" s="11" t="s">
        <v>33</v>
      </c>
      <c r="I46" s="12">
        <f>E46*0.15</f>
        <v>5517</v>
      </c>
      <c r="J46" s="11">
        <v>20</v>
      </c>
      <c r="K46" s="12">
        <v>8459.4</v>
      </c>
      <c r="L46" s="11"/>
      <c r="M46" s="12"/>
      <c r="N46" s="12">
        <f>M46+I46+G46+E46+K46</f>
        <v>50756.4</v>
      </c>
    </row>
    <row r="47" spans="1:15" ht="39" customHeight="1">
      <c r="A47" s="26" t="s">
        <v>81</v>
      </c>
      <c r="B47" s="9" t="s">
        <v>32</v>
      </c>
      <c r="C47" s="20">
        <v>2</v>
      </c>
      <c r="D47" s="11">
        <v>9</v>
      </c>
      <c r="E47" s="12">
        <v>30014</v>
      </c>
      <c r="F47" s="17"/>
      <c r="G47" s="12"/>
      <c r="H47" s="11" t="s">
        <v>33</v>
      </c>
      <c r="I47" s="12">
        <f t="shared" ref="I47" si="0">E47*15%</f>
        <v>4502.1000000000004</v>
      </c>
      <c r="J47" s="11">
        <v>20</v>
      </c>
      <c r="K47" s="12">
        <v>6903.22</v>
      </c>
      <c r="L47" s="11"/>
      <c r="M47" s="12"/>
      <c r="N47" s="12">
        <f>(E47+G47+M47+K47+I47)</f>
        <v>41419.32</v>
      </c>
    </row>
    <row r="48" spans="1:15" ht="19.95" customHeight="1">
      <c r="A48" s="26" t="s">
        <v>83</v>
      </c>
      <c r="B48" s="9" t="s">
        <v>35</v>
      </c>
      <c r="C48" s="20">
        <v>1</v>
      </c>
      <c r="D48" s="11">
        <v>7</v>
      </c>
      <c r="E48" s="12">
        <v>13360</v>
      </c>
      <c r="F48" s="17">
        <v>20</v>
      </c>
      <c r="G48" s="12">
        <f>E48*20%</f>
        <v>2672</v>
      </c>
      <c r="H48" s="11"/>
      <c r="I48" s="12"/>
      <c r="J48" s="11"/>
      <c r="K48" s="12"/>
      <c r="L48" s="11"/>
      <c r="M48" s="12"/>
      <c r="N48" s="12">
        <f>(E48+G48+M48+K48+I48)</f>
        <v>16032</v>
      </c>
    </row>
    <row r="49" spans="1:15" ht="16.95" customHeight="1">
      <c r="A49" s="26"/>
      <c r="B49" s="9" t="s">
        <v>45</v>
      </c>
      <c r="C49" s="20">
        <f>C48+C47+C46+C45</f>
        <v>6</v>
      </c>
      <c r="D49" s="11"/>
      <c r="E49" s="12">
        <f>E48+E47+E46+E45</f>
        <v>102536</v>
      </c>
      <c r="F49" s="17"/>
      <c r="G49" s="12">
        <f>G48+G47+G46+G45</f>
        <v>7148.4</v>
      </c>
      <c r="H49" s="12"/>
      <c r="I49" s="12">
        <f>I47+I46</f>
        <v>10019.1</v>
      </c>
      <c r="J49" s="12"/>
      <c r="K49" s="12">
        <f>K47+K46+K45</f>
        <v>19839.02</v>
      </c>
      <c r="L49" s="12"/>
      <c r="M49" s="12">
        <f>M48+M47+M46+M45</f>
        <v>0</v>
      </c>
      <c r="N49" s="31">
        <f>N48+N47+N46+N45</f>
        <v>139542.51999999999</v>
      </c>
      <c r="O49" s="15"/>
    </row>
    <row r="50" spans="1:15" ht="21" customHeight="1">
      <c r="A50" s="99">
        <f>C19+C26+C36+C42+C49</f>
        <v>91.75</v>
      </c>
      <c r="B50" s="100"/>
      <c r="C50" s="101"/>
      <c r="D50" s="40"/>
      <c r="E50" s="41">
        <f>E49+E42+E36+E26+E19</f>
        <v>1311266</v>
      </c>
      <c r="F50" s="42"/>
      <c r="G50" s="43">
        <f>G49+G42+G36+G26+G19</f>
        <v>103502.925</v>
      </c>
      <c r="H50" s="43"/>
      <c r="I50" s="43">
        <f>I49+I42+I36+I26+I19</f>
        <v>170048.88</v>
      </c>
      <c r="J50" s="44"/>
      <c r="K50" s="43">
        <f>K49+K42+K36+K26+K19</f>
        <v>301218.34999999998</v>
      </c>
      <c r="L50" s="44"/>
      <c r="M50" s="43">
        <f>M49+M42+M36+M26+M19</f>
        <v>8118</v>
      </c>
      <c r="N50" s="41">
        <f>N49+N42+N36+N26+N19</f>
        <v>1894154.155</v>
      </c>
      <c r="O50" s="15"/>
    </row>
    <row r="51" spans="1:15" ht="1.5" customHeight="1">
      <c r="D51" s="45"/>
      <c r="E51" s="46"/>
      <c r="F51" s="47"/>
      <c r="G51" s="48"/>
      <c r="H51" s="48"/>
      <c r="I51" s="48"/>
      <c r="J51" s="48"/>
    </row>
    <row r="52" spans="1:15" ht="15.6">
      <c r="B52" s="47"/>
      <c r="C52" s="48"/>
      <c r="D52" s="45"/>
      <c r="E52" s="46"/>
      <c r="F52" s="47"/>
      <c r="G52" s="49"/>
      <c r="H52" s="49"/>
      <c r="I52" s="49"/>
      <c r="J52" s="48"/>
    </row>
    <row r="53" spans="1:15" ht="15.75" customHeight="1">
      <c r="B53" s="104" t="s">
        <v>125</v>
      </c>
      <c r="C53" s="104"/>
      <c r="G53" s="104" t="s">
        <v>126</v>
      </c>
      <c r="H53" s="104"/>
      <c r="I53" s="104"/>
    </row>
    <row r="54" spans="1:15" ht="6" customHeight="1"/>
    <row r="56" spans="1:15" ht="13.5" customHeight="1">
      <c r="B56" s="104" t="s">
        <v>127</v>
      </c>
      <c r="C56" s="104"/>
      <c r="G56" s="104" t="s">
        <v>128</v>
      </c>
      <c r="H56" s="104"/>
    </row>
    <row r="57" spans="1:15" ht="12" customHeight="1">
      <c r="O57" s="50"/>
    </row>
    <row r="58" spans="1:15" hidden="1">
      <c r="B58" s="104"/>
      <c r="C58" s="104"/>
      <c r="D58" s="104"/>
      <c r="E58" s="104"/>
      <c r="F58" s="104"/>
      <c r="G58" s="104"/>
      <c r="H58" s="104"/>
    </row>
    <row r="59" spans="1:15">
      <c r="B59" s="104"/>
      <c r="C59" s="104"/>
      <c r="D59" s="104"/>
      <c r="E59" s="104"/>
      <c r="F59" s="104"/>
      <c r="G59" s="104"/>
      <c r="H59" s="104"/>
      <c r="I59" s="104"/>
      <c r="J59" s="104"/>
      <c r="K59" s="104"/>
    </row>
    <row r="60" spans="1:15" hidden="1"/>
    <row r="61" spans="1:15">
      <c r="J61" s="104"/>
      <c r="K61" s="104"/>
      <c r="L61" s="104"/>
      <c r="M61" s="104"/>
    </row>
    <row r="62" spans="1:15">
      <c r="J62" s="104"/>
      <c r="K62" s="104"/>
      <c r="L62" s="104"/>
      <c r="M62" s="104"/>
    </row>
    <row r="63" spans="1:15">
      <c r="J63" s="104"/>
      <c r="K63" s="104"/>
      <c r="L63" s="104"/>
      <c r="M63" s="104"/>
    </row>
  </sheetData>
  <mergeCells count="22">
    <mergeCell ref="B58:H58"/>
    <mergeCell ref="B59:K59"/>
    <mergeCell ref="J61:M61"/>
    <mergeCell ref="J62:M62"/>
    <mergeCell ref="J63:M63"/>
    <mergeCell ref="A44:N44"/>
    <mergeCell ref="A50:C50"/>
    <mergeCell ref="B53:C53"/>
    <mergeCell ref="G53:I53"/>
    <mergeCell ref="B56:C56"/>
    <mergeCell ref="G56:H56"/>
    <mergeCell ref="A21:N21"/>
    <mergeCell ref="A27:N27"/>
    <mergeCell ref="A28:N28"/>
    <mergeCell ref="A37:N37"/>
    <mergeCell ref="A43:C43"/>
    <mergeCell ref="A1:N1"/>
    <mergeCell ref="A2:N2"/>
    <mergeCell ref="F4:G4"/>
    <mergeCell ref="H4:I4"/>
    <mergeCell ref="J4:K4"/>
    <mergeCell ref="L4:M4"/>
  </mergeCells>
  <pageMargins left="0.7" right="0.7" top="0.75" bottom="0.75" header="0.3" footer="0.3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Лист1 (2)</vt:lpstr>
      <vt:lpstr>Лист1 (3)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Валентин Босий</cp:lastModifiedBy>
  <cp:lastPrinted>2024-10-31T12:37:00Z</cp:lastPrinted>
  <dcterms:created xsi:type="dcterms:W3CDTF">2021-03-01T08:48:00Z</dcterms:created>
  <dcterms:modified xsi:type="dcterms:W3CDTF">2026-05-11T07:56:51Z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F07B5E56B1C444AB8D20962B3BAE422C_13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